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fileSharing readOnlyRecommended="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usoa\Documents\SEAFORTH\2019\August\"/>
    </mc:Choice>
  </mc:AlternateContent>
  <xr:revisionPtr revIDLastSave="0" documentId="13_ncr:1_{FADE6BEB-48C5-4B99-A8EA-97365930C177}" xr6:coauthVersionLast="44" xr6:coauthVersionMax="44" xr10:uidLastSave="{00000000-0000-0000-0000-000000000000}"/>
  <bookViews>
    <workbookView xWindow="-110" yWindow="-110" windowWidth="19420" windowHeight="10420" tabRatio="873" activeTab="4" xr2:uid="{00000000-000D-0000-FFFF-FFFF00000000}"/>
  </bookViews>
  <sheets>
    <sheet name="Athletes" sheetId="26" r:id="rId1"/>
    <sheet name="Calcs" sheetId="42" state="hidden" r:id="rId2"/>
    <sheet name="U9 - B" sheetId="49" r:id="rId3"/>
    <sheet name="U11 - B" sheetId="45" r:id="rId4"/>
    <sheet name="U13 - B" sheetId="46" r:id="rId5"/>
    <sheet name="U15 - B" sheetId="54" r:id="rId6"/>
    <sheet name="U17 - M" sheetId="55" r:id="rId7"/>
    <sheet name="U20 - M" sheetId="56" r:id="rId8"/>
    <sheet name="SCORE" sheetId="50" r:id="rId9"/>
  </sheets>
  <definedNames>
    <definedName name="_xlnm.Print_Titles" localSheetId="1">Calcs!$A:$D,Calcs!$1:$1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1" i="56" l="1"/>
  <c r="Y11" i="56"/>
  <c r="V11" i="56"/>
  <c r="S11" i="56"/>
  <c r="P11" i="56"/>
  <c r="L11" i="56"/>
  <c r="I10" i="56"/>
  <c r="I11" i="56"/>
  <c r="L10" i="56"/>
  <c r="AB8" i="56"/>
  <c r="AB9" i="56"/>
  <c r="AB10" i="56"/>
  <c r="AB12" i="56"/>
  <c r="Y8" i="56"/>
  <c r="Y9" i="56"/>
  <c r="Y10" i="56"/>
  <c r="V8" i="56"/>
  <c r="V9" i="56"/>
  <c r="V10" i="56"/>
  <c r="S8" i="56"/>
  <c r="S9" i="56"/>
  <c r="S10" i="56"/>
  <c r="P8" i="56"/>
  <c r="P9" i="56"/>
  <c r="P10" i="56"/>
  <c r="P12" i="56"/>
  <c r="L8" i="56"/>
  <c r="L9" i="56"/>
  <c r="L12" i="56"/>
  <c r="I8" i="56"/>
  <c r="I9" i="56"/>
  <c r="AB15" i="46"/>
  <c r="AB16" i="46"/>
  <c r="AB17" i="46"/>
  <c r="AB18" i="46"/>
  <c r="Y15" i="46"/>
  <c r="Y16" i="46"/>
  <c r="Y17" i="46"/>
  <c r="Y18" i="46"/>
  <c r="V15" i="46"/>
  <c r="V16" i="46"/>
  <c r="V17" i="46"/>
  <c r="V18" i="46"/>
  <c r="S15" i="46"/>
  <c r="S16" i="46"/>
  <c r="S17" i="46"/>
  <c r="S18" i="46"/>
  <c r="P15" i="46"/>
  <c r="P16" i="46"/>
  <c r="P17" i="46"/>
  <c r="P18" i="46"/>
  <c r="L15" i="46"/>
  <c r="L16" i="46"/>
  <c r="L17" i="46"/>
  <c r="L18" i="46"/>
  <c r="I15" i="46"/>
  <c r="I16" i="46"/>
  <c r="I17" i="46"/>
  <c r="I18" i="46"/>
  <c r="AB12" i="54"/>
  <c r="AB13" i="54"/>
  <c r="AB14" i="54"/>
  <c r="AB15" i="54"/>
  <c r="AB16" i="54"/>
  <c r="AB17" i="54"/>
  <c r="Y12" i="54"/>
  <c r="Y13" i="54"/>
  <c r="Y14" i="54"/>
  <c r="Y15" i="54"/>
  <c r="Y16" i="54"/>
  <c r="Y17" i="54"/>
  <c r="V12" i="54"/>
  <c r="V13" i="54"/>
  <c r="V14" i="54"/>
  <c r="V15" i="54"/>
  <c r="V16" i="54"/>
  <c r="V17" i="54"/>
  <c r="S12" i="54"/>
  <c r="S13" i="54"/>
  <c r="S14" i="54"/>
  <c r="S15" i="54"/>
  <c r="S16" i="54"/>
  <c r="S17" i="54"/>
  <c r="P12" i="54"/>
  <c r="P13" i="54"/>
  <c r="P14" i="54"/>
  <c r="P15" i="54"/>
  <c r="P16" i="54"/>
  <c r="P17" i="54"/>
  <c r="L12" i="54"/>
  <c r="L13" i="54"/>
  <c r="L14" i="54"/>
  <c r="L15" i="54"/>
  <c r="L16" i="54"/>
  <c r="L17" i="54"/>
  <c r="I12" i="54"/>
  <c r="I13" i="54"/>
  <c r="I14" i="54"/>
  <c r="I15" i="54"/>
  <c r="I16" i="54"/>
  <c r="I17" i="54"/>
  <c r="AB5" i="55" l="1"/>
  <c r="AB23" i="54" l="1"/>
  <c r="AB24" i="54"/>
  <c r="Y21" i="54"/>
  <c r="Y23" i="54"/>
  <c r="Y24" i="54"/>
  <c r="V23" i="54"/>
  <c r="V24" i="54"/>
  <c r="S9" i="54"/>
  <c r="S23" i="54"/>
  <c r="S24" i="54"/>
  <c r="P6" i="54"/>
  <c r="P11" i="54"/>
  <c r="P19" i="54"/>
  <c r="P21" i="54"/>
  <c r="P23" i="54"/>
  <c r="P24" i="54"/>
  <c r="L6" i="54"/>
  <c r="L20" i="54"/>
  <c r="L23" i="54"/>
  <c r="L24" i="54"/>
  <c r="I6" i="54"/>
  <c r="I24" i="54"/>
  <c r="AB6" i="56" l="1"/>
  <c r="AB7" i="56"/>
  <c r="AB13" i="56"/>
  <c r="Y7" i="56"/>
  <c r="Y12" i="56"/>
  <c r="Y13" i="56"/>
  <c r="V5" i="56"/>
  <c r="V7" i="56"/>
  <c r="V12" i="56"/>
  <c r="V13" i="56"/>
  <c r="S7" i="56"/>
  <c r="S12" i="56"/>
  <c r="S13" i="56"/>
  <c r="P7" i="56"/>
  <c r="P13" i="56"/>
  <c r="L7" i="56"/>
  <c r="L13" i="56"/>
  <c r="I7" i="56"/>
  <c r="I12" i="56"/>
  <c r="I13" i="56"/>
  <c r="AB6" i="55"/>
  <c r="AB7" i="55"/>
  <c r="AB8" i="55"/>
  <c r="AB11" i="55"/>
  <c r="Y5" i="55"/>
  <c r="Y7" i="55"/>
  <c r="Y8" i="55"/>
  <c r="Y11" i="55"/>
  <c r="V6" i="55"/>
  <c r="V8" i="55"/>
  <c r="V9" i="55"/>
  <c r="V10" i="55"/>
  <c r="V11" i="55"/>
  <c r="S7" i="55"/>
  <c r="S9" i="55"/>
  <c r="S11" i="55"/>
  <c r="P8" i="55"/>
  <c r="P9" i="55"/>
  <c r="P10" i="55"/>
  <c r="P11" i="55"/>
  <c r="L5" i="55"/>
  <c r="L7" i="55"/>
  <c r="L9" i="55"/>
  <c r="L11" i="55"/>
  <c r="I5" i="55"/>
  <c r="I7" i="55"/>
  <c r="I9" i="55"/>
  <c r="I11" i="55"/>
  <c r="AB10" i="46"/>
  <c r="AB11" i="46"/>
  <c r="AB12" i="46"/>
  <c r="AB13" i="46"/>
  <c r="AB14" i="46"/>
  <c r="AB19" i="46"/>
  <c r="AB20" i="46"/>
  <c r="AB21" i="46"/>
  <c r="AB22" i="46"/>
  <c r="AB23" i="46"/>
  <c r="Y10" i="46"/>
  <c r="Y11" i="46"/>
  <c r="Y12" i="46"/>
  <c r="Y13" i="46"/>
  <c r="Y14" i="46"/>
  <c r="Y19" i="46"/>
  <c r="Y20" i="46"/>
  <c r="Y21" i="46"/>
  <c r="Y22" i="46"/>
  <c r="Y23" i="46"/>
  <c r="V10" i="46"/>
  <c r="V11" i="46"/>
  <c r="V12" i="46"/>
  <c r="V13" i="46"/>
  <c r="V14" i="46"/>
  <c r="V19" i="46"/>
  <c r="V20" i="46"/>
  <c r="V21" i="46"/>
  <c r="V22" i="46"/>
  <c r="V23" i="46"/>
  <c r="S10" i="46"/>
  <c r="S11" i="46"/>
  <c r="S12" i="46"/>
  <c r="S13" i="46"/>
  <c r="S14" i="46"/>
  <c r="S19" i="46"/>
  <c r="S20" i="46"/>
  <c r="S21" i="46"/>
  <c r="S22" i="46"/>
  <c r="S23" i="46"/>
  <c r="P10" i="46"/>
  <c r="P11" i="46"/>
  <c r="P12" i="46"/>
  <c r="P13" i="46"/>
  <c r="P14" i="46"/>
  <c r="P19" i="46"/>
  <c r="P20" i="46"/>
  <c r="P21" i="46"/>
  <c r="P22" i="46"/>
  <c r="P23" i="46"/>
  <c r="L23" i="46"/>
  <c r="L22" i="46"/>
  <c r="L21" i="46"/>
  <c r="L20" i="46"/>
  <c r="L19" i="46"/>
  <c r="L14" i="46"/>
  <c r="L13" i="46"/>
  <c r="L12" i="46"/>
  <c r="L11" i="46"/>
  <c r="L10" i="46"/>
  <c r="I23" i="46"/>
  <c r="I22" i="46"/>
  <c r="I21" i="46"/>
  <c r="I20" i="46"/>
  <c r="I19" i="46"/>
  <c r="I14" i="46"/>
  <c r="I13" i="46"/>
  <c r="I12" i="46"/>
  <c r="I11" i="46"/>
  <c r="I10" i="46"/>
  <c r="X24" i="45"/>
  <c r="X23" i="45"/>
  <c r="X22" i="45"/>
  <c r="X21" i="45"/>
  <c r="X20" i="45"/>
  <c r="U24" i="45"/>
  <c r="U23" i="45"/>
  <c r="U22" i="45"/>
  <c r="U21" i="45"/>
  <c r="U20" i="45"/>
  <c r="U19" i="45"/>
  <c r="M24" i="45"/>
  <c r="M23" i="45"/>
  <c r="M22" i="45"/>
  <c r="M21" i="45"/>
  <c r="M20" i="45"/>
  <c r="Q24" i="45" l="1"/>
  <c r="R24" i="45" s="1"/>
  <c r="Q23" i="45"/>
  <c r="R23" i="45" s="1"/>
  <c r="Q22" i="45"/>
  <c r="R22" i="45" s="1"/>
  <c r="Q21" i="45"/>
  <c r="R21" i="45" s="1"/>
  <c r="Q20" i="45"/>
  <c r="R20" i="45" s="1"/>
  <c r="Q19" i="45"/>
  <c r="Q18" i="45"/>
  <c r="Q17" i="45"/>
  <c r="Q16" i="45"/>
  <c r="Q15" i="45"/>
  <c r="Q14" i="45"/>
  <c r="Q13" i="45"/>
  <c r="Q12" i="45"/>
  <c r="Q11" i="45"/>
  <c r="Q10" i="45"/>
  <c r="Q9" i="45"/>
  <c r="Q8" i="45"/>
  <c r="Q7" i="45"/>
  <c r="Q6" i="45"/>
  <c r="I24" i="45"/>
  <c r="J24" i="45" s="1"/>
  <c r="I23" i="45"/>
  <c r="J23" i="45" s="1"/>
  <c r="I22" i="45"/>
  <c r="J22" i="45" s="1"/>
  <c r="I21" i="45"/>
  <c r="J21" i="45" s="1"/>
  <c r="I20" i="45"/>
  <c r="J20" i="45" s="1"/>
  <c r="I19" i="45"/>
  <c r="I18" i="45"/>
  <c r="I17" i="45"/>
  <c r="I16" i="45"/>
  <c r="I15" i="45"/>
  <c r="I14" i="45"/>
  <c r="I13" i="45"/>
  <c r="I12" i="45"/>
  <c r="I11" i="45"/>
  <c r="I10" i="45"/>
  <c r="I9" i="45"/>
  <c r="I8" i="45"/>
  <c r="I7" i="45"/>
  <c r="I6" i="45"/>
  <c r="Q5" i="45" l="1"/>
  <c r="I5" i="45"/>
  <c r="O14" i="49"/>
  <c r="L14" i="49"/>
  <c r="I14" i="49"/>
  <c r="O13" i="49"/>
  <c r="L13" i="49"/>
  <c r="I13" i="49"/>
  <c r="O12" i="49"/>
  <c r="L12" i="49"/>
  <c r="I12" i="49"/>
  <c r="O11" i="49"/>
  <c r="L11" i="49"/>
  <c r="I11" i="49"/>
  <c r="O10" i="49"/>
  <c r="L10" i="49"/>
  <c r="I10" i="49"/>
  <c r="O9" i="49"/>
  <c r="L9" i="49"/>
  <c r="I9" i="49"/>
  <c r="O8" i="49"/>
  <c r="L8" i="49"/>
  <c r="I8" i="49"/>
  <c r="O7" i="49"/>
  <c r="L7" i="49"/>
  <c r="I7" i="49"/>
  <c r="O6" i="49"/>
  <c r="L6" i="49"/>
  <c r="I6" i="49"/>
  <c r="O5" i="49"/>
  <c r="L5" i="49"/>
  <c r="I5" i="49"/>
  <c r="P80" i="50"/>
  <c r="P81" i="50" s="1"/>
  <c r="P82" i="50" s="1"/>
  <c r="P83" i="50" s="1"/>
  <c r="P84" i="50" s="1"/>
  <c r="P85" i="50" s="1"/>
  <c r="P86" i="50" s="1"/>
  <c r="P87" i="50" s="1"/>
  <c r="P88" i="50" s="1"/>
  <c r="O80" i="50"/>
  <c r="O81" i="50" s="1"/>
  <c r="O82" i="50" s="1"/>
  <c r="O83" i="50" s="1"/>
  <c r="O84" i="50" s="1"/>
  <c r="O85" i="50" s="1"/>
  <c r="O86" i="50" s="1"/>
  <c r="O87" i="50" s="1"/>
  <c r="O88" i="50" s="1"/>
  <c r="N80" i="50"/>
  <c r="N81" i="50" s="1"/>
  <c r="N82" i="50" s="1"/>
  <c r="N83" i="50" s="1"/>
  <c r="N84" i="50" s="1"/>
  <c r="N85" i="50" s="1"/>
  <c r="N86" i="50" s="1"/>
  <c r="N87" i="50" s="1"/>
  <c r="N88" i="50" s="1"/>
  <c r="A6" i="49"/>
  <c r="A7" i="49" s="1"/>
  <c r="A8" i="49" s="1"/>
  <c r="A9" i="49" s="1"/>
  <c r="A10" i="49" s="1"/>
  <c r="A11" i="49" s="1"/>
  <c r="A12" i="49" s="1"/>
  <c r="A13" i="49" s="1"/>
  <c r="A14" i="49" s="1"/>
  <c r="E101" i="26"/>
  <c r="E100" i="26"/>
  <c r="E99" i="26"/>
  <c r="E98" i="26"/>
  <c r="E97" i="26"/>
  <c r="E96" i="26"/>
  <c r="E95" i="26"/>
  <c r="E94" i="26"/>
  <c r="E93" i="26"/>
  <c r="E92" i="26"/>
  <c r="E91" i="26"/>
  <c r="E90" i="26"/>
  <c r="E89" i="26"/>
  <c r="E88" i="26"/>
  <c r="E87" i="26"/>
  <c r="E86" i="26"/>
  <c r="E85" i="26"/>
  <c r="E84" i="26"/>
  <c r="E83" i="26"/>
  <c r="E82" i="26"/>
  <c r="E81" i="26"/>
  <c r="E80" i="26"/>
  <c r="E79" i="26"/>
  <c r="E78" i="26"/>
  <c r="E77" i="26"/>
  <c r="E76" i="26"/>
  <c r="E75" i="26"/>
  <c r="E74" i="26"/>
  <c r="E73" i="26"/>
  <c r="E72" i="26"/>
  <c r="E71" i="26"/>
  <c r="E70" i="26"/>
  <c r="E69" i="26"/>
  <c r="E68" i="26"/>
  <c r="E67" i="26"/>
  <c r="E66" i="26"/>
  <c r="E65" i="26"/>
  <c r="E64" i="26"/>
  <c r="E63" i="26"/>
  <c r="E62" i="26"/>
  <c r="E61" i="26"/>
  <c r="E60" i="26"/>
  <c r="E59" i="26"/>
  <c r="E58" i="26"/>
  <c r="E57" i="26"/>
  <c r="E56" i="26"/>
  <c r="E55" i="26"/>
  <c r="E54" i="26"/>
  <c r="E53" i="26"/>
  <c r="E52" i="26"/>
  <c r="E51" i="26"/>
  <c r="E50" i="26"/>
  <c r="E49" i="26"/>
  <c r="E48" i="26"/>
  <c r="E47" i="26"/>
  <c r="E46" i="26"/>
  <c r="E45" i="26"/>
  <c r="E44" i="26"/>
  <c r="E43" i="26"/>
  <c r="E42" i="26"/>
  <c r="E41" i="26"/>
  <c r="E40" i="26"/>
  <c r="E39" i="26"/>
  <c r="E38" i="26"/>
  <c r="E37" i="26"/>
  <c r="E36" i="26"/>
  <c r="E35" i="26"/>
  <c r="E34" i="26"/>
  <c r="E33" i="26"/>
  <c r="E32" i="26"/>
  <c r="E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3" i="26"/>
  <c r="E12" i="26"/>
  <c r="E11" i="26"/>
  <c r="E10" i="26"/>
  <c r="E9" i="26"/>
  <c r="E8" i="26"/>
  <c r="E7" i="26"/>
  <c r="E6" i="26"/>
  <c r="E5" i="26"/>
  <c r="E4" i="26"/>
  <c r="E3" i="26"/>
  <c r="A6" i="56" l="1"/>
  <c r="A7" i="56" s="1"/>
  <c r="B2" i="56"/>
  <c r="A2" i="56"/>
  <c r="A6" i="55"/>
  <c r="B2" i="55"/>
  <c r="A2" i="55"/>
  <c r="A6" i="54"/>
  <c r="A7" i="54" s="1"/>
  <c r="B2" i="54"/>
  <c r="A2" i="54"/>
  <c r="B5" i="54" l="1"/>
  <c r="B10" i="56"/>
  <c r="E10" i="56" s="1"/>
  <c r="B11" i="56"/>
  <c r="E11" i="56" s="1"/>
  <c r="C12" i="56"/>
  <c r="C10" i="56"/>
  <c r="C11" i="56"/>
  <c r="C8" i="56"/>
  <c r="C9" i="56"/>
  <c r="B8" i="56"/>
  <c r="B9" i="56"/>
  <c r="E9" i="56" s="1"/>
  <c r="B12" i="56"/>
  <c r="C11" i="54"/>
  <c r="C15" i="54"/>
  <c r="C19" i="54"/>
  <c r="C23" i="54"/>
  <c r="C18" i="54"/>
  <c r="C12" i="54"/>
  <c r="C16" i="54"/>
  <c r="C20" i="54"/>
  <c r="C24" i="54"/>
  <c r="C22" i="54"/>
  <c r="C13" i="54"/>
  <c r="C17" i="54"/>
  <c r="C21" i="54"/>
  <c r="C14" i="54"/>
  <c r="B13" i="54"/>
  <c r="B17" i="54"/>
  <c r="B21" i="54"/>
  <c r="B14" i="54"/>
  <c r="B18" i="54"/>
  <c r="B22" i="54"/>
  <c r="B11" i="54"/>
  <c r="B15" i="54"/>
  <c r="B19" i="54"/>
  <c r="B23" i="54"/>
  <c r="B12" i="54"/>
  <c r="B16" i="54"/>
  <c r="B20" i="54"/>
  <c r="B24" i="54"/>
  <c r="B7" i="56"/>
  <c r="E7" i="56" s="1"/>
  <c r="C7" i="56"/>
  <c r="A7" i="55"/>
  <c r="A8" i="54"/>
  <c r="A9" i="54" s="1"/>
  <c r="E12" i="56" l="1"/>
  <c r="E8" i="56"/>
  <c r="E12" i="54"/>
  <c r="E15" i="54"/>
  <c r="E17" i="54"/>
  <c r="E16" i="54"/>
  <c r="E14" i="54"/>
  <c r="E13" i="54"/>
  <c r="A8" i="55"/>
  <c r="C13" i="56" l="1"/>
  <c r="B13" i="56"/>
  <c r="E13" i="56" s="1"/>
  <c r="A9" i="55"/>
  <c r="A10" i="54"/>
  <c r="F13" i="56" l="1"/>
  <c r="A10" i="55"/>
  <c r="A11" i="54"/>
  <c r="A11" i="55" l="1"/>
  <c r="C11" i="55" l="1"/>
  <c r="B11" i="55"/>
  <c r="A19" i="54"/>
  <c r="A20" i="54" s="1"/>
  <c r="A21" i="54" l="1"/>
  <c r="E11" i="55"/>
  <c r="A22" i="54" l="1"/>
  <c r="F11" i="55"/>
  <c r="A23" i="54" l="1"/>
  <c r="A3" i="26"/>
  <c r="A4" i="26" s="1"/>
  <c r="A5" i="26" s="1"/>
  <c r="A6" i="26" s="1"/>
  <c r="A7" i="26" s="1"/>
  <c r="A8" i="26" s="1"/>
  <c r="A9" i="26" s="1"/>
  <c r="A10" i="26" s="1"/>
  <c r="A11" i="26" s="1"/>
  <c r="A12" i="26" s="1"/>
  <c r="A13" i="26" s="1"/>
  <c r="A14" i="26" s="1"/>
  <c r="A15" i="26" s="1"/>
  <c r="A16" i="26" s="1"/>
  <c r="A17" i="26" l="1"/>
  <c r="A18" i="26" s="1"/>
  <c r="A19" i="26" s="1"/>
  <c r="A20" i="26" s="1"/>
  <c r="A21" i="26" s="1"/>
  <c r="A22" i="26" s="1"/>
  <c r="A23" i="26" s="1"/>
  <c r="A24" i="26" s="1"/>
  <c r="A25" i="26" s="1"/>
  <c r="A24" i="54"/>
  <c r="A2" i="49"/>
  <c r="A26" i="26" l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92" i="26" s="1"/>
  <c r="A93" i="26" s="1"/>
  <c r="A94" i="26" s="1"/>
  <c r="A95" i="26" s="1"/>
  <c r="A96" i="26" s="1"/>
  <c r="A97" i="26" s="1"/>
  <c r="A98" i="26" s="1"/>
  <c r="A99" i="26" s="1"/>
  <c r="A100" i="26" s="1"/>
  <c r="A101" i="26" s="1"/>
  <c r="F24" i="54"/>
  <c r="C13" i="49"/>
  <c r="B12" i="49"/>
  <c r="C9" i="49"/>
  <c r="B8" i="49"/>
  <c r="C14" i="49"/>
  <c r="B13" i="49"/>
  <c r="C10" i="49"/>
  <c r="B9" i="49"/>
  <c r="B14" i="49"/>
  <c r="C11" i="49"/>
  <c r="B10" i="49"/>
  <c r="C7" i="49"/>
  <c r="B7" i="49"/>
  <c r="C12" i="49"/>
  <c r="B11" i="49"/>
  <c r="C8" i="49"/>
  <c r="AI71" i="50"/>
  <c r="AK71" i="50" s="1"/>
  <c r="AE71" i="50"/>
  <c r="AI70" i="50"/>
  <c r="AK70" i="50" s="1"/>
  <c r="AE70" i="50"/>
  <c r="AI69" i="50"/>
  <c r="AK69" i="50" s="1"/>
  <c r="AE69" i="50"/>
  <c r="AI68" i="50"/>
  <c r="AK68" i="50" s="1"/>
  <c r="AE68" i="50"/>
  <c r="AB68" i="50"/>
  <c r="P68" i="50"/>
  <c r="R68" i="50" s="1"/>
  <c r="L68" i="50"/>
  <c r="AI67" i="50"/>
  <c r="AK67" i="50" s="1"/>
  <c r="AE67" i="50"/>
  <c r="AB67" i="50"/>
  <c r="P67" i="50"/>
  <c r="L67" i="50"/>
  <c r="AI66" i="50"/>
  <c r="AK66" i="50" s="1"/>
  <c r="AE66" i="50"/>
  <c r="AB66" i="50"/>
  <c r="P66" i="50"/>
  <c r="R66" i="50" s="1"/>
  <c r="L66" i="50"/>
  <c r="AI65" i="50"/>
  <c r="AK65" i="50" s="1"/>
  <c r="AE65" i="50"/>
  <c r="P65" i="50"/>
  <c r="R65" i="50" s="1"/>
  <c r="L65" i="50"/>
  <c r="AI64" i="50"/>
  <c r="AK64" i="50" s="1"/>
  <c r="AE64" i="50"/>
  <c r="P64" i="50"/>
  <c r="R64" i="50" s="1"/>
  <c r="L64" i="50"/>
  <c r="AI63" i="50"/>
  <c r="AK63" i="50" s="1"/>
  <c r="AE63" i="50"/>
  <c r="P63" i="50"/>
  <c r="R63" i="50" s="1"/>
  <c r="L63" i="50"/>
  <c r="AI62" i="50"/>
  <c r="AK62" i="50" s="1"/>
  <c r="AE62" i="50"/>
  <c r="P62" i="50"/>
  <c r="R62" i="50" s="1"/>
  <c r="L62" i="50"/>
  <c r="AI61" i="50"/>
  <c r="AK61" i="50" s="1"/>
  <c r="AE61" i="50"/>
  <c r="AB61" i="50"/>
  <c r="P61" i="50"/>
  <c r="R61" i="50" s="1"/>
  <c r="L61" i="50"/>
  <c r="P59" i="50"/>
  <c r="R59" i="50" s="1"/>
  <c r="L59" i="50"/>
  <c r="P58" i="50"/>
  <c r="R58" i="50" s="1"/>
  <c r="L58" i="50"/>
  <c r="P57" i="50"/>
  <c r="R57" i="50" s="1"/>
  <c r="L57" i="50"/>
  <c r="P56" i="50"/>
  <c r="R56" i="50" s="1"/>
  <c r="L56" i="50"/>
  <c r="AI55" i="50"/>
  <c r="AK55" i="50" s="1"/>
  <c r="AE55" i="50"/>
  <c r="P55" i="50"/>
  <c r="R55" i="50" s="1"/>
  <c r="L55" i="50"/>
  <c r="AI54" i="50"/>
  <c r="AK54" i="50" s="1"/>
  <c r="AE54" i="50"/>
  <c r="P54" i="50"/>
  <c r="R54" i="50" s="1"/>
  <c r="L54" i="50"/>
  <c r="AI53" i="50"/>
  <c r="AK53" i="50" s="1"/>
  <c r="AE53" i="50"/>
  <c r="P53" i="50"/>
  <c r="R53" i="50" s="1"/>
  <c r="L53" i="50"/>
  <c r="P51" i="50"/>
  <c r="R51" i="50" s="1"/>
  <c r="L51" i="50"/>
  <c r="P50" i="50"/>
  <c r="R50" i="50" s="1"/>
  <c r="L50" i="50"/>
  <c r="AI49" i="50"/>
  <c r="AK49" i="50" s="1"/>
  <c r="AE49" i="50"/>
  <c r="P49" i="50"/>
  <c r="R49" i="50" s="1"/>
  <c r="L49" i="50"/>
  <c r="AK48" i="50"/>
  <c r="AI48" i="50"/>
  <c r="AE48" i="50"/>
  <c r="P48" i="50"/>
  <c r="R48" i="50" s="1"/>
  <c r="L48" i="50"/>
  <c r="AI47" i="50"/>
  <c r="AK47" i="50" s="1"/>
  <c r="AE47" i="50"/>
  <c r="P47" i="50"/>
  <c r="R47" i="50" s="1"/>
  <c r="L47" i="50"/>
  <c r="AI46" i="50"/>
  <c r="AK46" i="50" s="1"/>
  <c r="AE46" i="50"/>
  <c r="AB46" i="50"/>
  <c r="P46" i="50"/>
  <c r="R46" i="50" s="1"/>
  <c r="L46" i="50"/>
  <c r="AI45" i="50"/>
  <c r="AK45" i="50" s="1"/>
  <c r="AE45" i="50"/>
  <c r="AB45" i="50"/>
  <c r="P45" i="50"/>
  <c r="R45" i="50" s="1"/>
  <c r="L45" i="50"/>
  <c r="AI44" i="50"/>
  <c r="AK44" i="50" s="1"/>
  <c r="AE44" i="50"/>
  <c r="P44" i="50"/>
  <c r="R44" i="50" s="1"/>
  <c r="L44" i="50"/>
  <c r="AI43" i="50"/>
  <c r="AK43" i="50" s="1"/>
  <c r="AE43" i="50"/>
  <c r="P43" i="50"/>
  <c r="R43" i="50" s="1"/>
  <c r="L43" i="50"/>
  <c r="P41" i="50"/>
  <c r="R41" i="50" s="1"/>
  <c r="L41" i="50"/>
  <c r="P40" i="50"/>
  <c r="R40" i="50" s="1"/>
  <c r="L40" i="50"/>
  <c r="P39" i="50"/>
  <c r="R39" i="50" s="1"/>
  <c r="L39" i="50"/>
  <c r="P38" i="50"/>
  <c r="R38" i="50" s="1"/>
  <c r="L38" i="50"/>
  <c r="P37" i="50"/>
  <c r="R37" i="50" s="1"/>
  <c r="L37" i="50"/>
  <c r="AI36" i="50"/>
  <c r="AK36" i="50" s="1"/>
  <c r="AE36" i="50"/>
  <c r="P36" i="50"/>
  <c r="R36" i="50" s="1"/>
  <c r="L36" i="50"/>
  <c r="AI33" i="50"/>
  <c r="AK33" i="50" s="1"/>
  <c r="AE33" i="50"/>
  <c r="P33" i="50"/>
  <c r="R33" i="50" s="1"/>
  <c r="L33" i="50"/>
  <c r="AI32" i="50"/>
  <c r="AK32" i="50" s="1"/>
  <c r="AE32" i="50"/>
  <c r="P32" i="50"/>
  <c r="R32" i="50" s="1"/>
  <c r="L32" i="50"/>
  <c r="AI30" i="50"/>
  <c r="AK30" i="50" s="1"/>
  <c r="AE30" i="50"/>
  <c r="P30" i="50"/>
  <c r="R30" i="50" s="1"/>
  <c r="L30" i="50"/>
  <c r="AB5" i="56" s="1"/>
  <c r="AI29" i="50"/>
  <c r="AK29" i="50" s="1"/>
  <c r="AE29" i="50"/>
  <c r="P29" i="50"/>
  <c r="R29" i="50" s="1"/>
  <c r="L29" i="50"/>
  <c r="AI28" i="50"/>
  <c r="AK28" i="50" s="1"/>
  <c r="AE28" i="50"/>
  <c r="P28" i="50"/>
  <c r="R28" i="50" s="1"/>
  <c r="L28" i="50"/>
  <c r="AI27" i="50"/>
  <c r="AK27" i="50" s="1"/>
  <c r="AE27" i="50"/>
  <c r="P27" i="50"/>
  <c r="R27" i="50" s="1"/>
  <c r="L27" i="50"/>
  <c r="AI26" i="50"/>
  <c r="AK26" i="50" s="1"/>
  <c r="AE26" i="50"/>
  <c r="P26" i="50"/>
  <c r="R26" i="50" s="1"/>
  <c r="L26" i="50"/>
  <c r="AI25" i="50"/>
  <c r="AK25" i="50" s="1"/>
  <c r="AE25" i="50"/>
  <c r="P25" i="50"/>
  <c r="R25" i="50" s="1"/>
  <c r="L25" i="50"/>
  <c r="AI24" i="50"/>
  <c r="AK24" i="50" s="1"/>
  <c r="AE24" i="50"/>
  <c r="P24" i="50"/>
  <c r="R24" i="50" s="1"/>
  <c r="L24" i="50"/>
  <c r="AI23" i="50"/>
  <c r="AK23" i="50" s="1"/>
  <c r="AE23" i="50"/>
  <c r="P23" i="50"/>
  <c r="R23" i="50" s="1"/>
  <c r="L23" i="50"/>
  <c r="AI20" i="50"/>
  <c r="AK20" i="50" s="1"/>
  <c r="AE20" i="50"/>
  <c r="P20" i="50"/>
  <c r="R20" i="50" s="1"/>
  <c r="L20" i="50"/>
  <c r="AI19" i="50"/>
  <c r="AK19" i="50" s="1"/>
  <c r="AE19" i="50"/>
  <c r="P19" i="50"/>
  <c r="R19" i="50" s="1"/>
  <c r="L19" i="50"/>
  <c r="AI18" i="50"/>
  <c r="AK18" i="50" s="1"/>
  <c r="AE18" i="50"/>
  <c r="P18" i="50"/>
  <c r="R18" i="50" s="1"/>
  <c r="L18" i="50"/>
  <c r="AI17" i="50"/>
  <c r="AK17" i="50" s="1"/>
  <c r="AE17" i="50"/>
  <c r="P17" i="50"/>
  <c r="R17" i="50" s="1"/>
  <c r="L17" i="50"/>
  <c r="AI16" i="50"/>
  <c r="AK16" i="50" s="1"/>
  <c r="AE16" i="50"/>
  <c r="R16" i="50"/>
  <c r="P16" i="50"/>
  <c r="L16" i="50"/>
  <c r="AI15" i="50"/>
  <c r="AK15" i="50" s="1"/>
  <c r="AE15" i="50"/>
  <c r="P15" i="50"/>
  <c r="R15" i="50" s="1"/>
  <c r="L15" i="50"/>
  <c r="AI14" i="50"/>
  <c r="AK14" i="50" s="1"/>
  <c r="AE14" i="50"/>
  <c r="P14" i="50"/>
  <c r="R14" i="50" s="1"/>
  <c r="L14" i="50"/>
  <c r="AI13" i="50"/>
  <c r="AK13" i="50" s="1"/>
  <c r="AE13" i="50"/>
  <c r="P13" i="50"/>
  <c r="R13" i="50" s="1"/>
  <c r="L13" i="50"/>
  <c r="AI12" i="50"/>
  <c r="AK12" i="50" s="1"/>
  <c r="AE12" i="50"/>
  <c r="P12" i="50"/>
  <c r="R12" i="50" s="1"/>
  <c r="L12" i="50"/>
  <c r="AI11" i="50"/>
  <c r="AK11" i="50" s="1"/>
  <c r="AE11" i="50"/>
  <c r="P11" i="50"/>
  <c r="R11" i="50" s="1"/>
  <c r="L11" i="50"/>
  <c r="AI10" i="50"/>
  <c r="AK10" i="50" s="1"/>
  <c r="AE10" i="50"/>
  <c r="P10" i="50"/>
  <c r="R10" i="50" s="1"/>
  <c r="L10" i="50"/>
  <c r="AI9" i="50"/>
  <c r="AK9" i="50" s="1"/>
  <c r="AE9" i="50"/>
  <c r="P9" i="50"/>
  <c r="R9" i="50" s="1"/>
  <c r="L9" i="50"/>
  <c r="AI8" i="50"/>
  <c r="AK8" i="50" s="1"/>
  <c r="AE8" i="50"/>
  <c r="R8" i="50"/>
  <c r="P8" i="50"/>
  <c r="L8" i="50"/>
  <c r="AI7" i="50"/>
  <c r="AK7" i="50" s="1"/>
  <c r="AE7" i="50"/>
  <c r="P7" i="50"/>
  <c r="R7" i="50" s="1"/>
  <c r="L7" i="50"/>
  <c r="AI6" i="50"/>
  <c r="AE6" i="50"/>
  <c r="P6" i="50"/>
  <c r="R6" i="50" s="1"/>
  <c r="L6" i="50"/>
  <c r="AI5" i="50"/>
  <c r="AK5" i="50" s="1"/>
  <c r="AE5" i="50"/>
  <c r="P5" i="50"/>
  <c r="R5" i="50" s="1"/>
  <c r="L5" i="50"/>
  <c r="E11" i="49" l="1"/>
  <c r="F11" i="49"/>
  <c r="E13" i="49"/>
  <c r="F13" i="49"/>
  <c r="E8" i="49"/>
  <c r="F8" i="49"/>
  <c r="E10" i="49"/>
  <c r="F10" i="49"/>
  <c r="E7" i="49"/>
  <c r="F7" i="49"/>
  <c r="E14" i="49"/>
  <c r="F14" i="49"/>
  <c r="E9" i="49"/>
  <c r="F9" i="49"/>
  <c r="E12" i="49"/>
  <c r="F12" i="49"/>
  <c r="Y6" i="55"/>
  <c r="Y10" i="55"/>
  <c r="Y9" i="55"/>
  <c r="L7" i="54"/>
  <c r="L11" i="54"/>
  <c r="L21" i="54"/>
  <c r="L5" i="54"/>
  <c r="L19" i="54"/>
  <c r="L10" i="54"/>
  <c r="L8" i="54"/>
  <c r="L18" i="54"/>
  <c r="L22" i="54"/>
  <c r="L9" i="54"/>
  <c r="L5" i="56"/>
  <c r="L8" i="55"/>
  <c r="L6" i="55"/>
  <c r="L6" i="56"/>
  <c r="L10" i="55"/>
  <c r="P5" i="54"/>
  <c r="P9" i="54"/>
  <c r="P7" i="54"/>
  <c r="P8" i="54"/>
  <c r="P22" i="54"/>
  <c r="P10" i="54"/>
  <c r="P20" i="54"/>
  <c r="P18" i="54"/>
  <c r="P6" i="55"/>
  <c r="P5" i="46"/>
  <c r="P9" i="46"/>
  <c r="P5" i="55"/>
  <c r="P7" i="55"/>
  <c r="P6" i="46"/>
  <c r="P7" i="46"/>
  <c r="P8" i="46"/>
  <c r="R18" i="45"/>
  <c r="R19" i="45"/>
  <c r="R17" i="45"/>
  <c r="R14" i="45"/>
  <c r="R11" i="45"/>
  <c r="R12" i="45"/>
  <c r="R10" i="45"/>
  <c r="R15" i="45"/>
  <c r="R9" i="45"/>
  <c r="R6" i="45"/>
  <c r="R13" i="45"/>
  <c r="R7" i="45"/>
  <c r="R8" i="45"/>
  <c r="R16" i="45"/>
  <c r="R5" i="45"/>
  <c r="P5" i="56"/>
  <c r="P6" i="56"/>
  <c r="AB10" i="55"/>
  <c r="AB9" i="55"/>
  <c r="Y7" i="54"/>
  <c r="Y11" i="54"/>
  <c r="Y9" i="54"/>
  <c r="Y10" i="54"/>
  <c r="Y8" i="54"/>
  <c r="Y18" i="54"/>
  <c r="Y22" i="54"/>
  <c r="Y5" i="54"/>
  <c r="Y19" i="54"/>
  <c r="Y6" i="54"/>
  <c r="Y20" i="54"/>
  <c r="AB5" i="54"/>
  <c r="AB9" i="54"/>
  <c r="AB19" i="54"/>
  <c r="AB7" i="54"/>
  <c r="AB21" i="54"/>
  <c r="AB8" i="54"/>
  <c r="AB22" i="54"/>
  <c r="AB6" i="54"/>
  <c r="AB10" i="54"/>
  <c r="AB20" i="54"/>
  <c r="AB11" i="54"/>
  <c r="AB18" i="54"/>
  <c r="I5" i="54"/>
  <c r="I9" i="54"/>
  <c r="I19" i="54"/>
  <c r="I23" i="54"/>
  <c r="I7" i="54"/>
  <c r="I8" i="54"/>
  <c r="I22" i="54"/>
  <c r="I10" i="54"/>
  <c r="I20" i="54"/>
  <c r="I11" i="54"/>
  <c r="I21" i="54"/>
  <c r="I18" i="54"/>
  <c r="I8" i="55"/>
  <c r="I9" i="46"/>
  <c r="I5" i="46"/>
  <c r="I10" i="55"/>
  <c r="I8" i="46"/>
  <c r="I6" i="55"/>
  <c r="I7" i="46"/>
  <c r="I6" i="56"/>
  <c r="I6" i="46"/>
  <c r="I5" i="56"/>
  <c r="J12" i="45"/>
  <c r="J18" i="45"/>
  <c r="J19" i="45"/>
  <c r="J13" i="45"/>
  <c r="J10" i="45"/>
  <c r="J16" i="45"/>
  <c r="J17" i="45"/>
  <c r="J11" i="45"/>
  <c r="J15" i="45"/>
  <c r="J6" i="45"/>
  <c r="J8" i="45"/>
  <c r="J9" i="45"/>
  <c r="J7" i="45"/>
  <c r="J14" i="45"/>
  <c r="J5" i="45"/>
  <c r="L6" i="46"/>
  <c r="L8" i="46"/>
  <c r="L9" i="46"/>
  <c r="L5" i="46"/>
  <c r="L7" i="46"/>
  <c r="V5" i="54"/>
  <c r="V9" i="54"/>
  <c r="V19" i="54"/>
  <c r="V11" i="54"/>
  <c r="V18" i="54"/>
  <c r="V6" i="54"/>
  <c r="V10" i="54"/>
  <c r="V20" i="54"/>
  <c r="V7" i="54"/>
  <c r="V21" i="54"/>
  <c r="V8" i="54"/>
  <c r="V22" i="54"/>
  <c r="V7" i="46"/>
  <c r="V6" i="56"/>
  <c r="V7" i="55"/>
  <c r="V6" i="46"/>
  <c r="V5" i="55"/>
  <c r="V8" i="46"/>
  <c r="V5" i="46"/>
  <c r="V9" i="46"/>
  <c r="Y5" i="56"/>
  <c r="Y6" i="56"/>
  <c r="Y6" i="46"/>
  <c r="X17" i="45"/>
  <c r="X13" i="45"/>
  <c r="X9" i="45"/>
  <c r="X5" i="45"/>
  <c r="X19" i="45"/>
  <c r="X7" i="45"/>
  <c r="Y9" i="46"/>
  <c r="X10" i="45"/>
  <c r="Y7" i="46"/>
  <c r="X16" i="45"/>
  <c r="X12" i="45"/>
  <c r="X8" i="45"/>
  <c r="X15" i="45"/>
  <c r="X14" i="45"/>
  <c r="X6" i="45"/>
  <c r="Y8" i="46"/>
  <c r="X11" i="45"/>
  <c r="Y5" i="46"/>
  <c r="X18" i="45"/>
  <c r="M17" i="45"/>
  <c r="M13" i="45"/>
  <c r="M9" i="45"/>
  <c r="M5" i="45"/>
  <c r="M16" i="45"/>
  <c r="M8" i="45"/>
  <c r="M19" i="45"/>
  <c r="M7" i="45"/>
  <c r="M14" i="45"/>
  <c r="M12" i="45"/>
  <c r="M15" i="45"/>
  <c r="M18" i="45"/>
  <c r="M6" i="45"/>
  <c r="M11" i="45"/>
  <c r="M10" i="45"/>
  <c r="S7" i="54"/>
  <c r="S11" i="54"/>
  <c r="S21" i="54"/>
  <c r="S5" i="54"/>
  <c r="S19" i="54"/>
  <c r="S6" i="54"/>
  <c r="S20" i="54"/>
  <c r="S8" i="54"/>
  <c r="S18" i="54"/>
  <c r="S22" i="54"/>
  <c r="S10" i="54"/>
  <c r="S6" i="56"/>
  <c r="S5" i="55"/>
  <c r="S8" i="46"/>
  <c r="U17" i="45"/>
  <c r="U13" i="45"/>
  <c r="U9" i="45"/>
  <c r="U5" i="45"/>
  <c r="U16" i="45"/>
  <c r="U8" i="45"/>
  <c r="U15" i="45"/>
  <c r="S7" i="46"/>
  <c r="U18" i="45"/>
  <c r="U6" i="45"/>
  <c r="S6" i="55"/>
  <c r="S10" i="55"/>
  <c r="S5" i="46"/>
  <c r="S9" i="46"/>
  <c r="U12" i="45"/>
  <c r="U11" i="45"/>
  <c r="S5" i="56"/>
  <c r="S8" i="55"/>
  <c r="U10" i="45"/>
  <c r="S6" i="46"/>
  <c r="U7" i="45"/>
  <c r="U14" i="45"/>
  <c r="AB5" i="46"/>
  <c r="AB9" i="46"/>
  <c r="AB6" i="46"/>
  <c r="AB7" i="46"/>
  <c r="AB8" i="46"/>
  <c r="AK6" i="50"/>
  <c r="E24" i="54"/>
  <c r="R67" i="50"/>
  <c r="E5" i="54" l="1"/>
  <c r="E18" i="54"/>
  <c r="B2" i="49"/>
  <c r="A6" i="46"/>
  <c r="B2" i="46"/>
  <c r="A2" i="46"/>
  <c r="B5" i="46" l="1"/>
  <c r="E5" i="46" s="1"/>
  <c r="C15" i="46"/>
  <c r="C16" i="46"/>
  <c r="C17" i="46"/>
  <c r="C18" i="46"/>
  <c r="B15" i="46"/>
  <c r="E15" i="46" s="1"/>
  <c r="B16" i="46"/>
  <c r="E16" i="46" s="1"/>
  <c r="B17" i="46"/>
  <c r="E17" i="46" s="1"/>
  <c r="B18" i="46"/>
  <c r="E18" i="46" s="1"/>
  <c r="A7" i="46"/>
  <c r="A8" i="46" l="1"/>
  <c r="B2" i="45"/>
  <c r="E2" i="26"/>
  <c r="A2" i="45"/>
  <c r="B6" i="49" l="1"/>
  <c r="C6" i="49"/>
  <c r="B5" i="56"/>
  <c r="E5" i="56" s="1"/>
  <c r="B6" i="55"/>
  <c r="E6" i="55" s="1"/>
  <c r="B6" i="56"/>
  <c r="E6" i="56" s="1"/>
  <c r="C5" i="55"/>
  <c r="C7" i="54"/>
  <c r="C5" i="56"/>
  <c r="C6" i="55"/>
  <c r="B6" i="54"/>
  <c r="C6" i="56"/>
  <c r="C6" i="54"/>
  <c r="B5" i="55"/>
  <c r="E5" i="55" s="1"/>
  <c r="B7" i="54"/>
  <c r="C5" i="54"/>
  <c r="B7" i="55"/>
  <c r="E7" i="55" s="1"/>
  <c r="C8" i="54"/>
  <c r="B8" i="54"/>
  <c r="C7" i="55"/>
  <c r="C8" i="55"/>
  <c r="C9" i="54"/>
  <c r="B9" i="54"/>
  <c r="B8" i="55"/>
  <c r="E8" i="55" s="1"/>
  <c r="B9" i="55"/>
  <c r="B10" i="54"/>
  <c r="C10" i="54"/>
  <c r="C9" i="55"/>
  <c r="B10" i="55"/>
  <c r="C10" i="55"/>
  <c r="F19" i="54"/>
  <c r="B5" i="49"/>
  <c r="E5" i="49" s="1"/>
  <c r="C5" i="49"/>
  <c r="C7" i="46"/>
  <c r="B7" i="46"/>
  <c r="E7" i="46" s="1"/>
  <c r="B6" i="46"/>
  <c r="E6" i="46" s="1"/>
  <c r="C6" i="46"/>
  <c r="C5" i="46"/>
  <c r="A9" i="46"/>
  <c r="C8" i="46"/>
  <c r="B8" i="46"/>
  <c r="E8" i="46" s="1"/>
  <c r="B5" i="45"/>
  <c r="E5" i="45" s="1"/>
  <c r="C5" i="45"/>
  <c r="A6" i="45"/>
  <c r="A7" i="45" s="1"/>
  <c r="A8" i="45" s="1"/>
  <c r="A9" i="45" s="1"/>
  <c r="A10" i="45" s="1"/>
  <c r="A11" i="45" s="1"/>
  <c r="A12" i="45" s="1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B24" i="45" s="1"/>
  <c r="F12" i="56" l="1"/>
  <c r="E6" i="49"/>
  <c r="E21" i="54"/>
  <c r="F21" i="54"/>
  <c r="E23" i="54"/>
  <c r="F23" i="54"/>
  <c r="E20" i="54"/>
  <c r="F20" i="54"/>
  <c r="E22" i="54"/>
  <c r="F22" i="54"/>
  <c r="E24" i="45"/>
  <c r="F24" i="45"/>
  <c r="B11" i="45"/>
  <c r="E11" i="45" s="1"/>
  <c r="C23" i="45"/>
  <c r="C21" i="45"/>
  <c r="C19" i="45"/>
  <c r="B17" i="45"/>
  <c r="E17" i="45" s="1"/>
  <c r="C24" i="45"/>
  <c r="B22" i="45"/>
  <c r="C20" i="45"/>
  <c r="B18" i="45"/>
  <c r="E18" i="45" s="1"/>
  <c r="C17" i="45"/>
  <c r="E11" i="54"/>
  <c r="E10" i="54"/>
  <c r="C22" i="45"/>
  <c r="B20" i="45"/>
  <c r="C18" i="45"/>
  <c r="B16" i="45"/>
  <c r="E16" i="45" s="1"/>
  <c r="E10" i="55"/>
  <c r="E9" i="55"/>
  <c r="F7" i="56"/>
  <c r="B23" i="45"/>
  <c r="B21" i="45"/>
  <c r="B19" i="45"/>
  <c r="E19" i="45" s="1"/>
  <c r="C16" i="45"/>
  <c r="E19" i="54"/>
  <c r="E9" i="54"/>
  <c r="E8" i="54"/>
  <c r="E7" i="54"/>
  <c r="E6" i="54"/>
  <c r="A10" i="46"/>
  <c r="C9" i="46"/>
  <c r="B9" i="46"/>
  <c r="E9" i="46" s="1"/>
  <c r="B12" i="45"/>
  <c r="E12" i="45" s="1"/>
  <c r="B8" i="45"/>
  <c r="E8" i="45" s="1"/>
  <c r="B14" i="45"/>
  <c r="E14" i="45" s="1"/>
  <c r="C8" i="45"/>
  <c r="C14" i="45"/>
  <c r="B7" i="45"/>
  <c r="E7" i="45" s="1"/>
  <c r="C12" i="45"/>
  <c r="C7" i="45"/>
  <c r="B15" i="45"/>
  <c r="B13" i="45"/>
  <c r="E13" i="45" s="1"/>
  <c r="B10" i="45"/>
  <c r="E10" i="45" s="1"/>
  <c r="C15" i="45"/>
  <c r="C13" i="45"/>
  <c r="C10" i="45"/>
  <c r="B9" i="45"/>
  <c r="E9" i="45" s="1"/>
  <c r="B6" i="45"/>
  <c r="E6" i="45" s="1"/>
  <c r="C9" i="45"/>
  <c r="C11" i="45"/>
  <c r="C6" i="45"/>
  <c r="F18" i="54" l="1"/>
  <c r="F12" i="54"/>
  <c r="F14" i="54"/>
  <c r="F13" i="54"/>
  <c r="F16" i="54"/>
  <c r="F17" i="54"/>
  <c r="F15" i="54"/>
  <c r="F11" i="56"/>
  <c r="F10" i="56"/>
  <c r="F8" i="56"/>
  <c r="F9" i="56"/>
  <c r="E21" i="45"/>
  <c r="E20" i="45"/>
  <c r="E23" i="45"/>
  <c r="F23" i="45"/>
  <c r="E22" i="45"/>
  <c r="F22" i="45"/>
  <c r="F6" i="54"/>
  <c r="F5" i="54"/>
  <c r="F7" i="54"/>
  <c r="F11" i="54"/>
  <c r="F8" i="54"/>
  <c r="F9" i="54"/>
  <c r="F10" i="54"/>
  <c r="F6" i="55"/>
  <c r="F5" i="56"/>
  <c r="F7" i="55"/>
  <c r="F10" i="55"/>
  <c r="F8" i="55"/>
  <c r="F6" i="56"/>
  <c r="F5" i="55"/>
  <c r="F9" i="55"/>
  <c r="F6" i="49"/>
  <c r="C10" i="46"/>
  <c r="A11" i="46"/>
  <c r="B10" i="46"/>
  <c r="E10" i="46" s="1"/>
  <c r="E15" i="45"/>
  <c r="A12" i="46" l="1"/>
  <c r="B11" i="46"/>
  <c r="E11" i="46" s="1"/>
  <c r="C11" i="46"/>
  <c r="B2" i="42"/>
  <c r="F21" i="45" l="1"/>
  <c r="F20" i="45"/>
  <c r="F18" i="45"/>
  <c r="F19" i="45"/>
  <c r="F16" i="45"/>
  <c r="F17" i="45"/>
  <c r="C12" i="46"/>
  <c r="A13" i="46"/>
  <c r="B12" i="46"/>
  <c r="E12" i="46" s="1"/>
  <c r="C13" i="46" l="1"/>
  <c r="A14" i="46"/>
  <c r="B13" i="46"/>
  <c r="E13" i="46" s="1"/>
  <c r="F13" i="45" l="1"/>
  <c r="C14" i="46"/>
  <c r="B14" i="46"/>
  <c r="E14" i="46" s="1"/>
  <c r="F14" i="45" l="1"/>
  <c r="F7" i="45"/>
  <c r="F9" i="45"/>
  <c r="F11" i="45"/>
  <c r="F6" i="45"/>
  <c r="F8" i="45"/>
  <c r="F15" i="45"/>
  <c r="F5" i="45"/>
  <c r="F10" i="45"/>
  <c r="F12" i="45"/>
  <c r="A20" i="46"/>
  <c r="B19" i="46"/>
  <c r="E19" i="46" s="1"/>
  <c r="C19" i="46"/>
  <c r="C20" i="46" l="1"/>
  <c r="A21" i="46"/>
  <c r="B20" i="46"/>
  <c r="E20" i="46" l="1"/>
  <c r="C21" i="46"/>
  <c r="A22" i="46"/>
  <c r="B21" i="46"/>
  <c r="E21" i="46" l="1"/>
  <c r="C22" i="46"/>
  <c r="A23" i="46"/>
  <c r="B22" i="46"/>
  <c r="E22" i="46" l="1"/>
  <c r="B23" i="46"/>
  <c r="C23" i="46"/>
  <c r="E23" i="46" l="1"/>
  <c r="F5" i="49"/>
  <c r="F17" i="46" l="1"/>
  <c r="F16" i="46"/>
  <c r="F15" i="46"/>
  <c r="F18" i="46"/>
  <c r="F19" i="46"/>
  <c r="F22" i="46"/>
  <c r="F21" i="46"/>
  <c r="F23" i="46"/>
  <c r="F20" i="46"/>
  <c r="F9" i="46"/>
  <c r="F10" i="46"/>
  <c r="F12" i="46"/>
  <c r="F11" i="46"/>
  <c r="F14" i="46"/>
  <c r="F13" i="46"/>
  <c r="F6" i="46"/>
  <c r="F5" i="46"/>
  <c r="F7" i="46"/>
  <c r="F8" i="46"/>
</calcChain>
</file>

<file path=xl/sharedStrings.xml><?xml version="1.0" encoding="utf-8"?>
<sst xmlns="http://schemas.openxmlformats.org/spreadsheetml/2006/main" count="439" uniqueCount="170">
  <si>
    <t>End of sheet</t>
  </si>
  <si>
    <t>Flags</t>
  </si>
  <si>
    <t>Calculations</t>
  </si>
  <si>
    <t>Athlete name</t>
  </si>
  <si>
    <t>Age group</t>
  </si>
  <si>
    <t>Number (optional)</t>
  </si>
  <si>
    <t>Athlete</t>
  </si>
  <si>
    <t>SATS PERFORMANCE TABLES</t>
  </si>
  <si>
    <t>a</t>
  </si>
  <si>
    <t>b</t>
  </si>
  <si>
    <t>c</t>
  </si>
  <si>
    <t>d</t>
  </si>
  <si>
    <t>e</t>
  </si>
  <si>
    <t>f</t>
  </si>
  <si>
    <t>600pts</t>
  </si>
  <si>
    <t>300pts</t>
  </si>
  <si>
    <t>0pts</t>
  </si>
  <si>
    <t>300&gt;0 interval</t>
  </si>
  <si>
    <t>Performance</t>
  </si>
  <si>
    <t>Score</t>
  </si>
  <si>
    <t>FIELD</t>
  </si>
  <si>
    <t>High Jump</t>
  </si>
  <si>
    <t>Long Jump</t>
  </si>
  <si>
    <t>Shot</t>
  </si>
  <si>
    <t>Javelin</t>
  </si>
  <si>
    <t>Flag</t>
  </si>
  <si>
    <t>Number</t>
  </si>
  <si>
    <t>Total Score</t>
  </si>
  <si>
    <t>80m</t>
  </si>
  <si>
    <t>Standing Long Jump</t>
  </si>
  <si>
    <t>200m</t>
  </si>
  <si>
    <t>600m</t>
  </si>
  <si>
    <t>Secs (0.0)</t>
  </si>
  <si>
    <t>Mins (0)</t>
  </si>
  <si>
    <t>Shot Putt</t>
  </si>
  <si>
    <t>Metres (0.00)</t>
  </si>
  <si>
    <t>Postion</t>
  </si>
  <si>
    <t>800m</t>
  </si>
  <si>
    <t>300m</t>
  </si>
  <si>
    <t>60m</t>
  </si>
  <si>
    <t>Turbo Javelin</t>
  </si>
  <si>
    <t>MEN</t>
  </si>
  <si>
    <t>WOMEN</t>
  </si>
  <si>
    <t>600 pts</t>
  </si>
  <si>
    <t>TRACK</t>
  </si>
  <si>
    <t>Min</t>
  </si>
  <si>
    <t>Secs</t>
  </si>
  <si>
    <t>Wind</t>
  </si>
  <si>
    <t>wind adjustment 10pts per 1.0</t>
  </si>
  <si>
    <t>Mile</t>
  </si>
  <si>
    <t>2000SC</t>
  </si>
  <si>
    <t>3000SC</t>
  </si>
  <si>
    <t>60H</t>
  </si>
  <si>
    <t>110H</t>
  </si>
  <si>
    <t>100H</t>
  </si>
  <si>
    <t>400H</t>
  </si>
  <si>
    <t>Dist</t>
  </si>
  <si>
    <t>JUMPS</t>
  </si>
  <si>
    <t>HJ-TOP</t>
  </si>
  <si>
    <t>Pole Vault</t>
  </si>
  <si>
    <t>wind adjustment 6pts per 1.0</t>
  </si>
  <si>
    <t>Triple Jump</t>
  </si>
  <si>
    <t>Discus</t>
  </si>
  <si>
    <t>Hammer</t>
  </si>
  <si>
    <t>MULTIS</t>
  </si>
  <si>
    <t>Points</t>
  </si>
  <si>
    <t>Decathlon</t>
  </si>
  <si>
    <t>Hept</t>
  </si>
  <si>
    <t>Heptathlon</t>
  </si>
  <si>
    <t>Pen</t>
  </si>
  <si>
    <t>UNDER 20 MEN</t>
  </si>
  <si>
    <t>UNDER 20 WOMEN</t>
  </si>
  <si>
    <t>1500SC</t>
  </si>
  <si>
    <t>Shot 6k</t>
  </si>
  <si>
    <t>Discus 1.75k</t>
  </si>
  <si>
    <t>Hammer 6k</t>
  </si>
  <si>
    <t>UNDER 17 MEN</t>
  </si>
  <si>
    <t>UNDER 17 WOMEN</t>
  </si>
  <si>
    <t>80H</t>
  </si>
  <si>
    <t>300H</t>
  </si>
  <si>
    <t>Shot 5k</t>
  </si>
  <si>
    <t>Shot 3k</t>
  </si>
  <si>
    <t>Discus 1.5k</t>
  </si>
  <si>
    <t>Hammer 3k</t>
  </si>
  <si>
    <t>Hammer 5k</t>
  </si>
  <si>
    <t>Javelin (500g)</t>
  </si>
  <si>
    <t>Javelin 700g</t>
  </si>
  <si>
    <t>Octathlon</t>
  </si>
  <si>
    <t>UNDER 15 BOYS</t>
  </si>
  <si>
    <t>UNDER 15 GIRLS</t>
  </si>
  <si>
    <t>75H</t>
  </si>
  <si>
    <t>Shot 4k</t>
  </si>
  <si>
    <t>Pentathlon</t>
  </si>
  <si>
    <t>Discus 1.25k</t>
  </si>
  <si>
    <t>Hammer 4k</t>
  </si>
  <si>
    <t>Javelin 600g</t>
  </si>
  <si>
    <t>UNDER 13 BOYS</t>
  </si>
  <si>
    <t>UNDER 13 GIRLS</t>
  </si>
  <si>
    <t>Shot 3.25k</t>
  </si>
  <si>
    <t>Discus 1k</t>
  </si>
  <si>
    <t>70H</t>
  </si>
  <si>
    <t>Javelin 400g</t>
  </si>
  <si>
    <t>Shot 2.72k</t>
  </si>
  <si>
    <t>Discus 0.75k</t>
  </si>
  <si>
    <t>Hammer 2k</t>
  </si>
  <si>
    <t>100M</t>
  </si>
  <si>
    <t>400m</t>
  </si>
  <si>
    <t>1500m</t>
  </si>
  <si>
    <t>Standing LJ</t>
  </si>
  <si>
    <t>u9 - B</t>
  </si>
  <si>
    <t>Note SLJ &amp; Jarvlin scoring was incorrect therefore scored manually ie 1st 20 points  2nd 18 points 3rd 16 points etc</t>
  </si>
  <si>
    <t>Louis Gibson</t>
  </si>
  <si>
    <t>Luca Stewart</t>
  </si>
  <si>
    <t>U11 - B</t>
  </si>
  <si>
    <t>Matthew Copland</t>
  </si>
  <si>
    <t>Matthew Cox</t>
  </si>
  <si>
    <t>Lucan Marshall-Watt</t>
  </si>
  <si>
    <t>Ethan Howie</t>
  </si>
  <si>
    <t>Fraser Quate</t>
  </si>
  <si>
    <t>Jacob Booth</t>
  </si>
  <si>
    <t>Nicholas Latto</t>
  </si>
  <si>
    <t>Alfie Murphy</t>
  </si>
  <si>
    <t>U13 - B</t>
  </si>
  <si>
    <t>Alastair MacLean</t>
  </si>
  <si>
    <t>Corey Boughen</t>
  </si>
  <si>
    <t>Tom Nicholl</t>
  </si>
  <si>
    <t>Sean McLellan</t>
  </si>
  <si>
    <t>Brady Mclean</t>
  </si>
  <si>
    <t>Daniel Byers</t>
  </si>
  <si>
    <t>Leo Brockie</t>
  </si>
  <si>
    <t>Luca Pieroni</t>
  </si>
  <si>
    <t>Sam McCrorie</t>
  </si>
  <si>
    <t>Roddy Crean</t>
  </si>
  <si>
    <t>Daniel O'Brien</t>
  </si>
  <si>
    <t>Euan Graham</t>
  </si>
  <si>
    <t>Fraser McIntyre</t>
  </si>
  <si>
    <t>Rory Kilpatrick</t>
  </si>
  <si>
    <t>Jacob McLellan</t>
  </si>
  <si>
    <t>Danny Aitken</t>
  </si>
  <si>
    <t>Connor Lynch</t>
  </si>
  <si>
    <t>Calum Hannah</t>
  </si>
  <si>
    <t>Jack McKinnon</t>
  </si>
  <si>
    <t>Branden Dunlop</t>
  </si>
  <si>
    <t>Evan Kelly</t>
  </si>
  <si>
    <t>Joshua Mirtle</t>
  </si>
  <si>
    <t>Ethan Polson</t>
  </si>
  <si>
    <t>Gregor Alexander</t>
  </si>
  <si>
    <t>Conor Scobie</t>
  </si>
  <si>
    <t>Harry Campbell</t>
  </si>
  <si>
    <t>Reas Begnor</t>
  </si>
  <si>
    <t>Rhys Johnston</t>
  </si>
  <si>
    <t>Nathan McColm</t>
  </si>
  <si>
    <t>U17 - M</t>
  </si>
  <si>
    <t>Toby Nixon</t>
  </si>
  <si>
    <t>Sammy Jones</t>
  </si>
  <si>
    <t>Glen Petrie</t>
  </si>
  <si>
    <t>Fraser McKenzie</t>
  </si>
  <si>
    <t>U20 - M</t>
  </si>
  <si>
    <t>Callum Meldrum</t>
  </si>
  <si>
    <t>Sean Aitken</t>
  </si>
  <si>
    <t>Alasdair Meldrum</t>
  </si>
  <si>
    <t>Stuart McLean</t>
  </si>
  <si>
    <t>Jordan Tennent</t>
  </si>
  <si>
    <t>Stuart Brockie</t>
  </si>
  <si>
    <t>U15 - B</t>
  </si>
  <si>
    <t>Stewart McColm</t>
  </si>
  <si>
    <t>David Ness</t>
  </si>
  <si>
    <t>Ricco Begnor</t>
  </si>
  <si>
    <t>Sebastian Ballantyne</t>
  </si>
  <si>
    <t>00.54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</si>
</sst>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&quot;$&quot;* #,##0.00_);_(&quot;$&quot;* \(#,##0.00\);_(&quot;$&quot;* &quot;-&quot;??_);_(@_)"/>
    <numFmt numFmtId="165" formatCode="#,##0_);[Red]\(#,##0\);\-_)"/>
    <numFmt numFmtId="166" formatCode="General\ &quot;.&quot;"/>
    <numFmt numFmtId="167" formatCode="#,##0.0_);[Red]\(#,##0.0\);\-_)"/>
    <numFmt numFmtId="168" formatCode="#,##0.00_);[Red]\(#,##0.00\);\-_)"/>
    <numFmt numFmtId="169" formatCode="[Red]&quot;FAIL&quot;;[Red]&quot;FAIL&quot;;[Blue]&quot;OK&quot;"/>
    <numFmt numFmtId="170" formatCode="0.0"/>
    <numFmt numFmtId="171" formatCode="0.0000"/>
    <numFmt numFmtId="172" formatCode="#,##0.0000"/>
  </numFmts>
  <fonts count="2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6"/>
      <name val="Calibri"/>
      <family val="2"/>
    </font>
    <font>
      <b/>
      <sz val="20"/>
      <color rgb="FF0000FF"/>
      <name val="Calibri"/>
      <family val="2"/>
    </font>
    <font>
      <b/>
      <sz val="12"/>
      <color rgb="FF0000FF"/>
      <name val="Calibri"/>
      <family val="2"/>
    </font>
    <font>
      <b/>
      <sz val="1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rgb="FFFF0000"/>
      <name val="Georgia"/>
      <family val="1"/>
    </font>
    <font>
      <b/>
      <sz val="14"/>
      <color rgb="FFFF0000"/>
      <name val="Georgia"/>
      <family val="1"/>
    </font>
    <font>
      <sz val="11"/>
      <color theme="1"/>
      <name val="Georgia"/>
      <family val="1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sz val="11"/>
      <name val="Calibri"/>
      <family val="2"/>
      <scheme val="minor"/>
    </font>
    <font>
      <b/>
      <sz val="10"/>
      <name val="Georgia"/>
      <family val="1"/>
    </font>
    <font>
      <sz val="10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rgb="FFF1F1F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EB8F9"/>
        <bgColor indexed="64"/>
      </patternFill>
    </fill>
    <fill>
      <patternFill patternType="solid">
        <fgColor rgb="FFFFCC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8">
    <xf numFmtId="165" fontId="0" fillId="0" borderId="0" applyFill="0" applyBorder="0" applyAlignment="0" applyProtection="0"/>
    <xf numFmtId="0" fontId="7" fillId="2" borderId="0" applyNumberFormat="0" applyBorder="0" applyProtection="0">
      <alignment vertical="center"/>
    </xf>
    <xf numFmtId="169" fontId="8" fillId="0" borderId="0" applyFill="0" applyBorder="0">
      <alignment horizontal="center" vertical="center"/>
    </xf>
    <xf numFmtId="167" fontId="6" fillId="4" borderId="3">
      <alignment horizontal="center" vertical="center"/>
      <protection locked="0"/>
    </xf>
    <xf numFmtId="166" fontId="9" fillId="0" borderId="2" applyProtection="0">
      <alignment vertical="center"/>
    </xf>
    <xf numFmtId="165" fontId="11" fillId="0" borderId="0" applyNumberFormat="0" applyFill="0" applyBorder="0" applyProtection="0">
      <alignment vertical="center"/>
    </xf>
    <xf numFmtId="165" fontId="6" fillId="4" borderId="3">
      <alignment horizontal="center" vertical="center"/>
      <protection locked="0"/>
    </xf>
    <xf numFmtId="165" fontId="4" fillId="0" borderId="1" applyFill="0" applyProtection="0">
      <alignment horizontal="center" vertical="center"/>
    </xf>
    <xf numFmtId="164" fontId="3" fillId="0" borderId="0" applyFont="0" applyFill="0" applyBorder="0" applyAlignment="0" applyProtection="0"/>
    <xf numFmtId="165" fontId="5" fillId="0" borderId="0" applyFill="0" applyBorder="0"/>
    <xf numFmtId="166" fontId="10" fillId="3" borderId="2" applyProtection="0">
      <alignment vertical="center"/>
    </xf>
    <xf numFmtId="167" fontId="4" fillId="0" borderId="1" applyFill="0" applyProtection="0">
      <alignment horizontal="center" vertical="center"/>
    </xf>
    <xf numFmtId="168" fontId="4" fillId="0" borderId="5" applyFill="0" applyProtection="0">
      <alignment horizontal="right" vertical="center"/>
    </xf>
    <xf numFmtId="168" fontId="6" fillId="4" borderId="3">
      <alignment horizontal="center" vertical="center"/>
      <protection locked="0"/>
    </xf>
    <xf numFmtId="165" fontId="6" fillId="5" borderId="1">
      <alignment horizontal="center" wrapText="1"/>
    </xf>
    <xf numFmtId="0" fontId="6" fillId="4" borderId="3">
      <alignment vertical="center"/>
      <protection locked="0"/>
    </xf>
    <xf numFmtId="0" fontId="4" fillId="0" borderId="5" applyFill="0" applyProtection="0">
      <alignment vertical="center"/>
    </xf>
    <xf numFmtId="0" fontId="2" fillId="0" borderId="0"/>
  </cellStyleXfs>
  <cellXfs count="192">
    <xf numFmtId="165" fontId="0" fillId="0" borderId="0" xfId="0"/>
    <xf numFmtId="168" fontId="6" fillId="4" borderId="11" xfId="13" applyBorder="1">
      <alignment horizontal="center" vertical="center"/>
      <protection locked="0"/>
    </xf>
    <xf numFmtId="166" fontId="9" fillId="0" borderId="2" xfId="4">
      <alignment vertical="center"/>
    </xf>
    <xf numFmtId="165" fontId="0" fillId="0" borderId="0" xfId="0"/>
    <xf numFmtId="166" fontId="10" fillId="3" borderId="2" xfId="10">
      <alignment vertical="center"/>
    </xf>
    <xf numFmtId="165" fontId="0" fillId="3" borderId="4" xfId="0" applyFill="1" applyBorder="1" applyAlignment="1">
      <alignment vertical="center"/>
    </xf>
    <xf numFmtId="0" fontId="4" fillId="0" borderId="5" xfId="16">
      <alignment vertical="center"/>
    </xf>
    <xf numFmtId="169" fontId="8" fillId="0" borderId="0" xfId="2">
      <alignment horizontal="center" vertical="center"/>
    </xf>
    <xf numFmtId="165" fontId="6" fillId="4" borderId="5" xfId="6" applyBorder="1">
      <alignment horizontal="center" vertical="center"/>
      <protection locked="0"/>
    </xf>
    <xf numFmtId="0" fontId="6" fillId="4" borderId="5" xfId="15" applyBorder="1">
      <alignment vertical="center"/>
      <protection locked="0"/>
    </xf>
    <xf numFmtId="0" fontId="6" fillId="4" borderId="5" xfId="15" applyBorder="1" applyAlignment="1">
      <alignment horizontal="center" vertical="center"/>
      <protection locked="0"/>
    </xf>
    <xf numFmtId="165" fontId="4" fillId="0" borderId="5" xfId="7" applyBorder="1" applyAlignment="1">
      <alignment horizontal="center" vertical="center"/>
    </xf>
    <xf numFmtId="165" fontId="12" fillId="5" borderId="5" xfId="14" applyFont="1" applyBorder="1" applyAlignment="1">
      <alignment horizontal="center" vertical="center" wrapText="1"/>
    </xf>
    <xf numFmtId="165" fontId="0" fillId="0" borderId="0" xfId="0"/>
    <xf numFmtId="165" fontId="0" fillId="0" borderId="0" xfId="0" applyFill="1"/>
    <xf numFmtId="165" fontId="12" fillId="5" borderId="9" xfId="14" applyFont="1" applyBorder="1" applyAlignment="1">
      <alignment horizontal="center" vertical="center" wrapText="1"/>
    </xf>
    <xf numFmtId="165" fontId="12" fillId="5" borderId="11" xfId="14" applyFont="1" applyBorder="1" applyAlignment="1">
      <alignment horizontal="center" vertical="center" wrapText="1"/>
    </xf>
    <xf numFmtId="167" fontId="6" fillId="4" borderId="11" xfId="3" applyBorder="1" applyAlignment="1">
      <alignment horizontal="center" vertical="center"/>
      <protection locked="0"/>
    </xf>
    <xf numFmtId="165" fontId="4" fillId="0" borderId="13" xfId="7" applyBorder="1" applyAlignment="1">
      <alignment horizontal="center" vertical="center"/>
    </xf>
    <xf numFmtId="165" fontId="12" fillId="5" borderId="7" xfId="14" applyFont="1" applyBorder="1" applyAlignment="1">
      <alignment horizontal="center" vertical="center" wrapText="1"/>
    </xf>
    <xf numFmtId="165" fontId="12" fillId="5" borderId="16" xfId="14" applyFont="1" applyBorder="1" applyAlignment="1">
      <alignment horizontal="center" vertical="center" wrapText="1"/>
    </xf>
    <xf numFmtId="165" fontId="12" fillId="5" borderId="8" xfId="14" applyFont="1" applyBorder="1" applyAlignment="1">
      <alignment horizontal="center" vertical="center" wrapText="1"/>
    </xf>
    <xf numFmtId="165" fontId="4" fillId="0" borderId="11" xfId="7" applyBorder="1" applyAlignment="1">
      <alignment horizontal="center" vertical="center"/>
    </xf>
    <xf numFmtId="165" fontId="6" fillId="5" borderId="1" xfId="14">
      <alignment horizontal="center" wrapText="1"/>
    </xf>
    <xf numFmtId="165" fontId="6" fillId="4" borderId="11" xfId="6" applyBorder="1" applyAlignment="1">
      <alignment horizontal="center" vertical="center"/>
      <protection locked="0"/>
    </xf>
    <xf numFmtId="167" fontId="6" fillId="4" borderId="5" xfId="3" applyBorder="1" applyAlignment="1">
      <alignment horizontal="center" vertical="center"/>
      <protection locked="0"/>
    </xf>
    <xf numFmtId="0" fontId="2" fillId="0" borderId="0" xfId="17"/>
    <xf numFmtId="0" fontId="19" fillId="8" borderId="0" xfId="17" applyFont="1" applyFill="1" applyProtection="1">
      <protection locked="0"/>
    </xf>
    <xf numFmtId="0" fontId="13" fillId="9" borderId="0" xfId="17" applyFont="1" applyFill="1" applyAlignment="1" applyProtection="1">
      <alignment horizontal="left"/>
      <protection locked="0"/>
    </xf>
    <xf numFmtId="0" fontId="15" fillId="9" borderId="0" xfId="17" applyFont="1" applyFill="1" applyProtection="1">
      <protection locked="0"/>
    </xf>
    <xf numFmtId="0" fontId="15" fillId="9" borderId="0" xfId="17" applyFont="1" applyFill="1" applyAlignment="1" applyProtection="1">
      <alignment horizontal="right"/>
      <protection locked="0"/>
    </xf>
    <xf numFmtId="0" fontId="13" fillId="9" borderId="0" xfId="17" applyFont="1" applyFill="1" applyProtection="1">
      <protection locked="0"/>
    </xf>
    <xf numFmtId="0" fontId="14" fillId="9" borderId="0" xfId="17" applyFont="1" applyFill="1" applyProtection="1">
      <protection locked="0"/>
    </xf>
    <xf numFmtId="0" fontId="14" fillId="9" borderId="0" xfId="17" applyFont="1" applyFill="1" applyAlignment="1" applyProtection="1">
      <alignment horizontal="center"/>
      <protection locked="0"/>
    </xf>
    <xf numFmtId="0" fontId="13" fillId="8" borderId="0" xfId="17" applyFont="1" applyFill="1" applyProtection="1">
      <protection locked="0"/>
    </xf>
    <xf numFmtId="0" fontId="13" fillId="10" borderId="0" xfId="17" applyFont="1" applyFill="1" applyAlignment="1" applyProtection="1">
      <alignment horizontal="left"/>
      <protection locked="0"/>
    </xf>
    <xf numFmtId="0" fontId="13" fillId="10" borderId="0" xfId="17" applyFont="1" applyFill="1" applyProtection="1">
      <protection locked="0"/>
    </xf>
    <xf numFmtId="0" fontId="14" fillId="10" borderId="0" xfId="17" applyFont="1" applyFill="1" applyProtection="1">
      <protection locked="0"/>
    </xf>
    <xf numFmtId="0" fontId="14" fillId="10" borderId="0" xfId="17" applyFont="1" applyFill="1" applyAlignment="1" applyProtection="1">
      <alignment horizontal="center"/>
      <protection locked="0"/>
    </xf>
    <xf numFmtId="0" fontId="14" fillId="6" borderId="0" xfId="17" applyFont="1" applyFill="1" applyAlignment="1" applyProtection="1">
      <alignment horizontal="left"/>
      <protection locked="0"/>
    </xf>
    <xf numFmtId="0" fontId="15" fillId="6" borderId="0" xfId="17" applyFont="1" applyFill="1" applyProtection="1">
      <protection locked="0"/>
    </xf>
    <xf numFmtId="0" fontId="13" fillId="6" borderId="0" xfId="17" applyFont="1" applyFill="1" applyProtection="1">
      <protection locked="0"/>
    </xf>
    <xf numFmtId="0" fontId="15" fillId="6" borderId="0" xfId="17" applyFont="1" applyFill="1" applyAlignment="1" applyProtection="1">
      <alignment horizontal="right"/>
      <protection locked="0"/>
    </xf>
    <xf numFmtId="0" fontId="14" fillId="11" borderId="0" xfId="17" applyFont="1" applyFill="1" applyAlignment="1" applyProtection="1">
      <alignment horizontal="left"/>
      <protection locked="0"/>
    </xf>
    <xf numFmtId="0" fontId="13" fillId="11" borderId="0" xfId="17" applyFont="1" applyFill="1" applyProtection="1">
      <protection locked="0"/>
    </xf>
    <xf numFmtId="0" fontId="15" fillId="11" borderId="0" xfId="17" applyFont="1" applyFill="1" applyAlignment="1" applyProtection="1">
      <alignment horizontal="right"/>
      <protection locked="0"/>
    </xf>
    <xf numFmtId="0" fontId="13" fillId="11" borderId="0" xfId="17" applyFont="1" applyFill="1" applyProtection="1"/>
    <xf numFmtId="0" fontId="13" fillId="6" borderId="0" xfId="17" applyFont="1" applyFill="1" applyAlignment="1" applyProtection="1">
      <alignment horizontal="left"/>
    </xf>
    <xf numFmtId="0" fontId="2" fillId="6" borderId="0" xfId="17" applyFill="1" applyProtection="1">
      <protection locked="0"/>
    </xf>
    <xf numFmtId="2" fontId="20" fillId="6" borderId="5" xfId="17" applyNumberFormat="1" applyFont="1" applyFill="1" applyBorder="1" applyProtection="1">
      <protection locked="0"/>
    </xf>
    <xf numFmtId="2" fontId="13" fillId="6" borderId="0" xfId="17" applyNumberFormat="1" applyFont="1" applyFill="1" applyProtection="1">
      <protection locked="0"/>
    </xf>
    <xf numFmtId="1" fontId="13" fillId="6" borderId="0" xfId="17" applyNumberFormat="1" applyFont="1" applyFill="1" applyProtection="1"/>
    <xf numFmtId="0" fontId="13" fillId="11" borderId="0" xfId="17" applyFont="1" applyFill="1" applyAlignment="1" applyProtection="1">
      <alignment horizontal="left"/>
    </xf>
    <xf numFmtId="0" fontId="15" fillId="11" borderId="0" xfId="17" applyFont="1" applyFill="1" applyProtection="1">
      <protection locked="0"/>
    </xf>
    <xf numFmtId="2" fontId="20" fillId="11" borderId="5" xfId="17" applyNumberFormat="1" applyFont="1" applyFill="1" applyBorder="1" applyProtection="1">
      <protection locked="0"/>
    </xf>
    <xf numFmtId="0" fontId="2" fillId="11" borderId="0" xfId="17" applyFill="1" applyProtection="1">
      <protection locked="0"/>
    </xf>
    <xf numFmtId="2" fontId="13" fillId="11" borderId="0" xfId="17" applyNumberFormat="1" applyFont="1" applyFill="1" applyProtection="1">
      <protection locked="0"/>
    </xf>
    <xf numFmtId="1" fontId="13" fillId="11" borderId="0" xfId="17" applyNumberFormat="1" applyFont="1" applyFill="1" applyProtection="1">
      <protection locked="0"/>
    </xf>
    <xf numFmtId="1" fontId="13" fillId="11" borderId="0" xfId="17" applyNumberFormat="1" applyFont="1" applyFill="1" applyProtection="1"/>
    <xf numFmtId="0" fontId="2" fillId="0" borderId="0" xfId="17" applyAlignment="1">
      <alignment horizontal="left"/>
    </xf>
    <xf numFmtId="11" fontId="2" fillId="6" borderId="0" xfId="17" applyNumberFormat="1" applyFill="1" applyProtection="1">
      <protection locked="0"/>
    </xf>
    <xf numFmtId="170" fontId="13" fillId="6" borderId="0" xfId="17" applyNumberFormat="1" applyFont="1" applyFill="1" applyProtection="1">
      <protection locked="0"/>
    </xf>
    <xf numFmtId="0" fontId="21" fillId="11" borderId="0" xfId="17" applyFont="1" applyFill="1" applyProtection="1">
      <protection locked="0"/>
    </xf>
    <xf numFmtId="11" fontId="21" fillId="11" borderId="0" xfId="17" applyNumberFormat="1" applyFont="1" applyFill="1" applyProtection="1">
      <protection locked="0"/>
    </xf>
    <xf numFmtId="170" fontId="13" fillId="11" borderId="0" xfId="17" applyNumberFormat="1" applyFont="1" applyFill="1" applyProtection="1">
      <protection locked="0"/>
    </xf>
    <xf numFmtId="2" fontId="20" fillId="6" borderId="5" xfId="17" applyNumberFormat="1" applyFont="1" applyFill="1" applyBorder="1" applyAlignment="1" applyProtection="1">
      <alignment horizontal="right"/>
      <protection locked="0"/>
    </xf>
    <xf numFmtId="11" fontId="13" fillId="11" borderId="0" xfId="17" applyNumberFormat="1" applyFont="1" applyFill="1" applyProtection="1">
      <protection locked="0"/>
    </xf>
    <xf numFmtId="2" fontId="20" fillId="11" borderId="5" xfId="17" applyNumberFormat="1" applyFont="1" applyFill="1" applyBorder="1" applyAlignment="1" applyProtection="1">
      <alignment horizontal="right"/>
      <protection locked="0"/>
    </xf>
    <xf numFmtId="1" fontId="2" fillId="0" borderId="0" xfId="17" applyNumberFormat="1"/>
    <xf numFmtId="0" fontId="20" fillId="6" borderId="5" xfId="17" applyFont="1" applyFill="1" applyBorder="1" applyAlignment="1" applyProtection="1">
      <alignment horizontal="right"/>
      <protection locked="0"/>
    </xf>
    <xf numFmtId="0" fontId="20" fillId="11" borderId="5" xfId="17" applyFont="1" applyFill="1" applyBorder="1" applyAlignment="1" applyProtection="1">
      <alignment horizontal="right"/>
      <protection locked="0"/>
    </xf>
    <xf numFmtId="2" fontId="2" fillId="0" borderId="0" xfId="17" applyNumberFormat="1" applyAlignment="1">
      <alignment horizontal="left"/>
    </xf>
    <xf numFmtId="0" fontId="21" fillId="6" borderId="0" xfId="17" applyFont="1" applyFill="1" applyProtection="1">
      <protection locked="0"/>
    </xf>
    <xf numFmtId="0" fontId="20" fillId="11" borderId="0" xfId="17" applyFont="1" applyFill="1" applyAlignment="1" applyProtection="1">
      <alignment horizontal="left"/>
    </xf>
    <xf numFmtId="0" fontId="20" fillId="11" borderId="0" xfId="17" applyFont="1" applyFill="1" applyProtection="1">
      <protection locked="0"/>
    </xf>
    <xf numFmtId="2" fontId="20" fillId="11" borderId="0" xfId="17" applyNumberFormat="1" applyFont="1" applyFill="1" applyProtection="1">
      <protection locked="0"/>
    </xf>
    <xf numFmtId="0" fontId="22" fillId="11" borderId="0" xfId="17" applyFont="1" applyFill="1" applyProtection="1">
      <protection locked="0"/>
    </xf>
    <xf numFmtId="0" fontId="20" fillId="6" borderId="5" xfId="17" applyFont="1" applyFill="1" applyBorder="1" applyProtection="1">
      <protection locked="0"/>
    </xf>
    <xf numFmtId="0" fontId="20" fillId="11" borderId="5" xfId="17" applyFont="1" applyFill="1" applyBorder="1" applyProtection="1">
      <protection locked="0"/>
    </xf>
    <xf numFmtId="0" fontId="23" fillId="6" borderId="0" xfId="17" applyFont="1" applyFill="1"/>
    <xf numFmtId="0" fontId="14" fillId="6" borderId="0" xfId="17" applyFont="1" applyFill="1" applyAlignment="1" applyProtection="1">
      <alignment horizontal="left"/>
    </xf>
    <xf numFmtId="0" fontId="13" fillId="6" borderId="0" xfId="17" applyFont="1" applyFill="1" applyProtection="1"/>
    <xf numFmtId="0" fontId="14" fillId="11" borderId="0" xfId="17" applyFont="1" applyFill="1" applyAlignment="1" applyProtection="1">
      <alignment horizontal="left"/>
    </xf>
    <xf numFmtId="0" fontId="20" fillId="0" borderId="0" xfId="17" applyFont="1"/>
    <xf numFmtId="0" fontId="15" fillId="11" borderId="0" xfId="17" applyFont="1" applyFill="1"/>
    <xf numFmtId="2" fontId="20" fillId="11" borderId="5" xfId="17" applyNumberFormat="1" applyFont="1" applyFill="1" applyBorder="1"/>
    <xf numFmtId="0" fontId="13" fillId="11" borderId="0" xfId="17" applyFont="1" applyFill="1"/>
    <xf numFmtId="0" fontId="15" fillId="11" borderId="0" xfId="17" applyFont="1" applyFill="1" applyAlignment="1">
      <alignment horizontal="right"/>
    </xf>
    <xf numFmtId="1" fontId="2" fillId="6" borderId="0" xfId="17" quotePrefix="1" applyNumberFormat="1" applyFill="1" applyProtection="1"/>
    <xf numFmtId="1" fontId="20" fillId="11" borderId="5" xfId="17" applyNumberFormat="1" applyFont="1" applyFill="1" applyBorder="1" applyProtection="1">
      <protection locked="0"/>
    </xf>
    <xf numFmtId="1" fontId="2" fillId="11" borderId="0" xfId="17" quotePrefix="1" applyNumberFormat="1" applyFill="1"/>
    <xf numFmtId="1" fontId="2" fillId="11" borderId="0" xfId="17" quotePrefix="1" applyNumberFormat="1" applyFill="1" applyProtection="1"/>
    <xf numFmtId="0" fontId="16" fillId="0" borderId="0" xfId="17" applyFont="1"/>
    <xf numFmtId="2" fontId="15" fillId="6" borderId="0" xfId="17" applyNumberFormat="1" applyFont="1" applyFill="1" applyProtection="1">
      <protection locked="0"/>
    </xf>
    <xf numFmtId="171" fontId="2" fillId="6" borderId="0" xfId="17" applyNumberFormat="1" applyFill="1" applyProtection="1">
      <protection locked="0"/>
    </xf>
    <xf numFmtId="2" fontId="2" fillId="6" borderId="0" xfId="17" applyNumberFormat="1" applyFill="1" applyProtection="1">
      <protection locked="0"/>
    </xf>
    <xf numFmtId="1" fontId="15" fillId="6" borderId="0" xfId="17" applyNumberFormat="1" applyFont="1" applyFill="1" applyProtection="1">
      <protection locked="0"/>
    </xf>
    <xf numFmtId="171" fontId="13" fillId="6" borderId="0" xfId="17" applyNumberFormat="1" applyFont="1" applyFill="1" applyProtection="1">
      <protection locked="0"/>
    </xf>
    <xf numFmtId="171" fontId="22" fillId="11" borderId="0" xfId="17" applyNumberFormat="1" applyFont="1" applyFill="1" applyProtection="1">
      <protection locked="0"/>
    </xf>
    <xf numFmtId="171" fontId="15" fillId="11" borderId="0" xfId="17" applyNumberFormat="1" applyFont="1" applyFill="1" applyProtection="1">
      <protection locked="0"/>
    </xf>
    <xf numFmtId="0" fontId="14" fillId="6" borderId="0" xfId="17" applyFont="1" applyFill="1" applyProtection="1"/>
    <xf numFmtId="0" fontId="14" fillId="11" borderId="0" xfId="17" applyFont="1" applyFill="1" applyProtection="1"/>
    <xf numFmtId="1" fontId="13" fillId="6" borderId="0" xfId="17" applyNumberFormat="1" applyFont="1" applyFill="1" applyProtection="1">
      <protection locked="0"/>
    </xf>
    <xf numFmtId="0" fontId="24" fillId="9" borderId="0" xfId="17" applyFont="1" applyFill="1" applyAlignment="1" applyProtection="1">
      <alignment horizontal="left"/>
    </xf>
    <xf numFmtId="0" fontId="24" fillId="9" borderId="0" xfId="17" applyFont="1" applyFill="1" applyAlignment="1" applyProtection="1">
      <alignment horizontal="center"/>
      <protection locked="0"/>
    </xf>
    <xf numFmtId="0" fontId="24" fillId="9" borderId="0" xfId="17" applyFont="1" applyFill="1" applyAlignment="1" applyProtection="1">
      <alignment horizontal="center"/>
    </xf>
    <xf numFmtId="0" fontId="25" fillId="8" borderId="0" xfId="17" applyFont="1" applyFill="1" applyProtection="1">
      <protection locked="0"/>
    </xf>
    <xf numFmtId="0" fontId="24" fillId="10" borderId="0" xfId="17" applyFont="1" applyFill="1" applyAlignment="1" applyProtection="1">
      <alignment horizontal="left"/>
    </xf>
    <xf numFmtId="0" fontId="24" fillId="10" borderId="0" xfId="17" applyFont="1" applyFill="1" applyAlignment="1" applyProtection="1">
      <alignment horizontal="center"/>
      <protection locked="0"/>
    </xf>
    <xf numFmtId="0" fontId="24" fillId="10" borderId="0" xfId="17" applyFont="1" applyFill="1" applyAlignment="1" applyProtection="1">
      <alignment horizontal="center"/>
    </xf>
    <xf numFmtId="0" fontId="2" fillId="11" borderId="0" xfId="17" applyFill="1" applyAlignment="1" applyProtection="1">
      <alignment horizontal="left"/>
    </xf>
    <xf numFmtId="0" fontId="2" fillId="11" borderId="0" xfId="17" applyFill="1" applyAlignment="1" applyProtection="1">
      <alignment horizontal="left"/>
      <protection locked="0"/>
    </xf>
    <xf numFmtId="0" fontId="2" fillId="11" borderId="0" xfId="17" applyFill="1" applyProtection="1"/>
    <xf numFmtId="1" fontId="20" fillId="6" borderId="5" xfId="17" applyNumberFormat="1" applyFont="1" applyFill="1" applyBorder="1" applyProtection="1">
      <protection locked="0"/>
    </xf>
    <xf numFmtId="171" fontId="20" fillId="11" borderId="0" xfId="17" applyNumberFormat="1" applyFont="1" applyFill="1" applyProtection="1">
      <protection locked="0"/>
    </xf>
    <xf numFmtId="171" fontId="13" fillId="11" borderId="0" xfId="17" applyNumberFormat="1" applyFont="1" applyFill="1" applyProtection="1">
      <protection locked="0"/>
    </xf>
    <xf numFmtId="171" fontId="2" fillId="11" borderId="0" xfId="17" applyNumberFormat="1" applyFill="1" applyProtection="1">
      <protection locked="0"/>
    </xf>
    <xf numFmtId="2" fontId="2" fillId="11" borderId="0" xfId="17" applyNumberFormat="1" applyFill="1" applyProtection="1">
      <protection locked="0"/>
    </xf>
    <xf numFmtId="172" fontId="2" fillId="6" borderId="0" xfId="17" applyNumberFormat="1" applyFill="1" applyProtection="1">
      <protection locked="0"/>
    </xf>
    <xf numFmtId="0" fontId="13" fillId="11" borderId="0" xfId="17" applyFont="1" applyFill="1" applyAlignment="1" applyProtection="1">
      <alignment horizontal="left"/>
      <protection locked="0"/>
    </xf>
    <xf numFmtId="0" fontId="13" fillId="6" borderId="0" xfId="17" applyFont="1" applyFill="1" applyAlignment="1">
      <alignment horizontal="left"/>
    </xf>
    <xf numFmtId="11" fontId="2" fillId="6" borderId="0" xfId="17" applyNumberFormat="1" applyFill="1"/>
    <xf numFmtId="0" fontId="2" fillId="6" borderId="0" xfId="17" applyFill="1"/>
    <xf numFmtId="0" fontId="13" fillId="6" borderId="0" xfId="17" applyFont="1" applyFill="1"/>
    <xf numFmtId="0" fontId="20" fillId="6" borderId="5" xfId="17" applyFont="1" applyFill="1" applyBorder="1" applyAlignment="1">
      <alignment horizontal="right"/>
    </xf>
    <xf numFmtId="2" fontId="13" fillId="6" borderId="0" xfId="17" applyNumberFormat="1" applyFont="1" applyFill="1"/>
    <xf numFmtId="11" fontId="20" fillId="11" borderId="0" xfId="17" applyNumberFormat="1" applyFont="1" applyFill="1" applyProtection="1">
      <protection locked="0"/>
    </xf>
    <xf numFmtId="1" fontId="20" fillId="0" borderId="5" xfId="17" applyNumberFormat="1" applyFont="1" applyFill="1" applyBorder="1"/>
    <xf numFmtId="1" fontId="20" fillId="8" borderId="5" xfId="17" applyNumberFormat="1" applyFont="1" applyFill="1" applyBorder="1"/>
    <xf numFmtId="1" fontId="2" fillId="6" borderId="0" xfId="17" quotePrefix="1" applyNumberFormat="1" applyFill="1"/>
    <xf numFmtId="0" fontId="2" fillId="8" borderId="0" xfId="17" applyFill="1" applyProtection="1">
      <protection locked="0"/>
    </xf>
    <xf numFmtId="0" fontId="2" fillId="6" borderId="0" xfId="17" applyFill="1" applyProtection="1"/>
    <xf numFmtId="0" fontId="20" fillId="8" borderId="5" xfId="17" applyFont="1" applyFill="1" applyBorder="1"/>
    <xf numFmtId="0" fontId="20" fillId="0" borderId="5" xfId="17" applyFont="1" applyBorder="1"/>
    <xf numFmtId="0" fontId="2" fillId="11" borderId="0" xfId="17" applyFill="1"/>
    <xf numFmtId="165" fontId="4" fillId="7" borderId="11" xfId="7" applyFill="1" applyBorder="1" applyAlignment="1">
      <alignment horizontal="center" vertical="center"/>
    </xf>
    <xf numFmtId="165" fontId="4" fillId="7" borderId="13" xfId="7" applyFill="1" applyBorder="1" applyAlignment="1">
      <alignment horizontal="center" vertical="center"/>
    </xf>
    <xf numFmtId="167" fontId="0" fillId="0" borderId="0" xfId="0" applyNumberFormat="1" applyFill="1"/>
    <xf numFmtId="165" fontId="12" fillId="5" borderId="11" xfId="14" applyFont="1" applyBorder="1" applyAlignment="1">
      <alignment horizontal="center" vertical="center" wrapText="1"/>
    </xf>
    <xf numFmtId="165" fontId="12" fillId="5" borderId="5" xfId="14" applyFont="1" applyBorder="1" applyAlignment="1">
      <alignment horizontal="center" vertical="center" wrapText="1"/>
    </xf>
    <xf numFmtId="165" fontId="4" fillId="0" borderId="19" xfId="7" applyBorder="1" applyAlignment="1">
      <alignment horizontal="center" vertical="center"/>
    </xf>
    <xf numFmtId="165" fontId="4" fillId="0" borderId="20" xfId="7" applyBorder="1" applyAlignment="1">
      <alignment horizontal="center" vertical="center"/>
    </xf>
    <xf numFmtId="165" fontId="4" fillId="0" borderId="10" xfId="7" applyBorder="1" applyAlignment="1">
      <alignment horizontal="center" vertical="center"/>
    </xf>
    <xf numFmtId="165" fontId="4" fillId="7" borderId="19" xfId="7" applyFill="1" applyBorder="1" applyAlignment="1">
      <alignment horizontal="center" vertical="center"/>
    </xf>
    <xf numFmtId="165" fontId="4" fillId="7" borderId="10" xfId="7" applyFill="1" applyBorder="1" applyAlignment="1">
      <alignment horizontal="center" vertical="center"/>
    </xf>
    <xf numFmtId="167" fontId="6" fillId="4" borderId="19" xfId="3" applyBorder="1" applyAlignment="1">
      <alignment horizontal="center" vertical="center"/>
      <protection locked="0"/>
    </xf>
    <xf numFmtId="168" fontId="6" fillId="4" borderId="19" xfId="13" applyBorder="1">
      <alignment horizontal="center" vertical="center"/>
      <protection locked="0"/>
    </xf>
    <xf numFmtId="165" fontId="6" fillId="4" borderId="19" xfId="6" applyBorder="1" applyAlignment="1">
      <alignment horizontal="center" vertical="center"/>
      <protection locked="0"/>
    </xf>
    <xf numFmtId="167" fontId="6" fillId="4" borderId="20" xfId="3" applyBorder="1" applyAlignment="1">
      <alignment horizontal="center" vertical="center"/>
      <protection locked="0"/>
    </xf>
    <xf numFmtId="0" fontId="2" fillId="0" borderId="5" xfId="17" applyBorder="1"/>
    <xf numFmtId="0" fontId="1" fillId="0" borderId="5" xfId="17" applyFont="1" applyBorder="1"/>
    <xf numFmtId="165" fontId="12" fillId="5" borderId="22" xfId="14" applyFont="1" applyBorder="1" applyAlignment="1">
      <alignment horizontal="center" vertical="center" wrapText="1"/>
    </xf>
    <xf numFmtId="165" fontId="12" fillId="5" borderId="23" xfId="14" applyFont="1" applyBorder="1" applyAlignment="1">
      <alignment horizontal="center" vertical="center" wrapText="1"/>
    </xf>
    <xf numFmtId="165" fontId="12" fillId="5" borderId="25" xfId="14" applyFont="1" applyBorder="1" applyAlignment="1">
      <alignment horizontal="center" vertical="center" wrapText="1"/>
    </xf>
    <xf numFmtId="167" fontId="6" fillId="0" borderId="22" xfId="3" applyFill="1" applyBorder="1" applyAlignment="1">
      <alignment horizontal="center" vertical="center"/>
      <protection locked="0"/>
    </xf>
    <xf numFmtId="167" fontId="6" fillId="0" borderId="26" xfId="3" applyFill="1" applyBorder="1" applyAlignment="1">
      <alignment horizontal="center" vertical="center"/>
      <protection locked="0"/>
    </xf>
    <xf numFmtId="165" fontId="4" fillId="0" borderId="5" xfId="7" applyBorder="1">
      <alignment horizontal="center" vertical="center"/>
    </xf>
    <xf numFmtId="165" fontId="4" fillId="0" borderId="19" xfId="7" applyFill="1" applyBorder="1" applyAlignment="1">
      <alignment horizontal="center" vertical="center"/>
    </xf>
    <xf numFmtId="165" fontId="4" fillId="0" borderId="20" xfId="7" applyFill="1" applyBorder="1" applyAlignment="1">
      <alignment horizontal="center" vertical="center"/>
    </xf>
    <xf numFmtId="165" fontId="4" fillId="0" borderId="10" xfId="7" applyFill="1" applyBorder="1" applyAlignment="1">
      <alignment horizontal="center" vertical="center"/>
    </xf>
    <xf numFmtId="165" fontId="4" fillId="0" borderId="14" xfId="7" applyFill="1" applyBorder="1" applyAlignment="1">
      <alignment horizontal="center" vertical="center"/>
    </xf>
    <xf numFmtId="165" fontId="4" fillId="0" borderId="17" xfId="7" applyFill="1" applyBorder="1" applyAlignment="1">
      <alignment horizontal="center" vertical="center"/>
    </xf>
    <xf numFmtId="165" fontId="4" fillId="0" borderId="15" xfId="7" applyFill="1" applyBorder="1" applyAlignment="1">
      <alignment horizontal="center" vertical="center"/>
    </xf>
    <xf numFmtId="167" fontId="6" fillId="0" borderId="14" xfId="3" applyFill="1" applyBorder="1" applyAlignment="1">
      <alignment horizontal="center" vertical="center"/>
      <protection locked="0"/>
    </xf>
    <xf numFmtId="168" fontId="6" fillId="0" borderId="14" xfId="13" applyFill="1" applyBorder="1">
      <alignment horizontal="center" vertical="center"/>
      <protection locked="0"/>
    </xf>
    <xf numFmtId="165" fontId="6" fillId="0" borderId="14" xfId="6" applyFill="1" applyBorder="1" applyAlignment="1">
      <alignment horizontal="center" vertical="center"/>
      <protection locked="0"/>
    </xf>
    <xf numFmtId="167" fontId="6" fillId="0" borderId="17" xfId="3" applyFill="1" applyBorder="1" applyAlignment="1">
      <alignment horizontal="center" vertical="center"/>
      <protection locked="0"/>
    </xf>
    <xf numFmtId="165" fontId="4" fillId="0" borderId="11" xfId="7" applyFill="1" applyBorder="1" applyAlignment="1">
      <alignment horizontal="center" vertical="center"/>
    </xf>
    <xf numFmtId="165" fontId="4" fillId="0" borderId="5" xfId="7" applyFill="1" applyBorder="1" applyAlignment="1">
      <alignment horizontal="center" vertical="center"/>
    </xf>
    <xf numFmtId="165" fontId="4" fillId="0" borderId="13" xfId="7" applyFill="1" applyBorder="1" applyAlignment="1">
      <alignment horizontal="center" vertical="center"/>
    </xf>
    <xf numFmtId="165" fontId="0" fillId="8" borderId="0" xfId="0" applyFill="1"/>
    <xf numFmtId="165" fontId="0" fillId="0" borderId="0" xfId="0" applyBorder="1"/>
    <xf numFmtId="168" fontId="6" fillId="4" borderId="11" xfId="3" applyNumberFormat="1" applyBorder="1" applyAlignment="1">
      <alignment horizontal="center" vertical="center"/>
      <protection locked="0"/>
    </xf>
    <xf numFmtId="168" fontId="6" fillId="4" borderId="5" xfId="3" applyNumberFormat="1" applyBorder="1" applyAlignment="1">
      <alignment horizontal="center" vertical="center"/>
      <protection locked="0"/>
    </xf>
    <xf numFmtId="168" fontId="6" fillId="4" borderId="20" xfId="3" applyNumberFormat="1" applyBorder="1" applyAlignment="1">
      <alignment horizontal="center" vertical="center"/>
      <protection locked="0"/>
    </xf>
    <xf numFmtId="168" fontId="6" fillId="4" borderId="5" xfId="3" quotePrefix="1" applyNumberFormat="1" applyBorder="1" applyAlignment="1">
      <alignment horizontal="center" vertical="center"/>
      <protection locked="0"/>
    </xf>
    <xf numFmtId="165" fontId="11" fillId="5" borderId="7" xfId="5" applyFill="1" applyBorder="1" applyAlignment="1">
      <alignment horizontal="center" vertical="center"/>
    </xf>
    <xf numFmtId="165" fontId="11" fillId="5" borderId="8" xfId="5" applyFill="1" applyBorder="1" applyAlignment="1">
      <alignment horizontal="center" vertical="center"/>
    </xf>
    <xf numFmtId="165" fontId="12" fillId="5" borderId="13" xfId="14" applyFont="1" applyBorder="1" applyAlignment="1">
      <alignment horizontal="center" wrapText="1"/>
    </xf>
    <xf numFmtId="165" fontId="12" fillId="5" borderId="10" xfId="14" applyFont="1" applyBorder="1" applyAlignment="1">
      <alignment horizontal="center" wrapText="1"/>
    </xf>
    <xf numFmtId="165" fontId="12" fillId="5" borderId="12" xfId="14" applyFont="1" applyBorder="1" applyAlignment="1">
      <alignment horizontal="center" wrapText="1"/>
    </xf>
    <xf numFmtId="165" fontId="11" fillId="5" borderId="21" xfId="5" applyFill="1" applyBorder="1" applyAlignment="1">
      <alignment horizontal="center" vertical="center"/>
    </xf>
    <xf numFmtId="165" fontId="11" fillId="5" borderId="16" xfId="5" applyFill="1" applyBorder="1" applyAlignment="1">
      <alignment horizontal="center" vertical="center"/>
    </xf>
    <xf numFmtId="165" fontId="11" fillId="5" borderId="24" xfId="5" applyFill="1" applyBorder="1" applyAlignment="1">
      <alignment horizontal="center" vertical="center"/>
    </xf>
    <xf numFmtId="165" fontId="12" fillId="5" borderId="18" xfId="14" applyFont="1" applyBorder="1" applyAlignment="1">
      <alignment horizontal="center" vertical="center" wrapText="1"/>
    </xf>
    <xf numFmtId="165" fontId="12" fillId="5" borderId="6" xfId="14" applyFont="1" applyBorder="1" applyAlignment="1">
      <alignment horizontal="center" vertical="center" wrapText="1"/>
    </xf>
    <xf numFmtId="165" fontId="12" fillId="5" borderId="11" xfId="14" applyFont="1" applyBorder="1" applyAlignment="1">
      <alignment horizontal="center" vertical="center" wrapText="1"/>
    </xf>
    <xf numFmtId="165" fontId="12" fillId="5" borderId="5" xfId="14" applyFont="1" applyBorder="1" applyAlignment="1">
      <alignment horizontal="center" vertical="center" wrapText="1"/>
    </xf>
    <xf numFmtId="0" fontId="17" fillId="8" borderId="0" xfId="17" applyFont="1" applyFill="1" applyAlignment="1" applyProtection="1">
      <alignment horizontal="center"/>
    </xf>
    <xf numFmtId="0" fontId="18" fillId="8" borderId="0" xfId="17" applyFont="1" applyFill="1" applyAlignment="1" applyProtection="1">
      <alignment horizontal="center"/>
      <protection locked="0"/>
    </xf>
    <xf numFmtId="0" fontId="14" fillId="9" borderId="0" xfId="17" applyFont="1" applyFill="1" applyAlignment="1" applyProtection="1">
      <alignment horizontal="center"/>
      <protection locked="0"/>
    </xf>
    <xf numFmtId="0" fontId="14" fillId="10" borderId="0" xfId="17" applyFont="1" applyFill="1" applyAlignment="1" applyProtection="1">
      <alignment horizontal="center"/>
      <protection locked="0"/>
    </xf>
  </cellXfs>
  <cellStyles count="18">
    <cellStyle name="Blocked" xfId="1" xr:uid="{00000000-0005-0000-0000-000000000000}"/>
    <cellStyle name="CalcAmt [0dp]" xfId="7" xr:uid="{00000000-0005-0000-0000-000001000000}"/>
    <cellStyle name="CalcAmt [1dp]" xfId="11" xr:uid="{00000000-0005-0000-0000-000002000000}"/>
    <cellStyle name="CalcAmt [2dp]" xfId="12" xr:uid="{00000000-0005-0000-0000-000003000000}"/>
    <cellStyle name="CalcText" xfId="16" xr:uid="{00000000-0005-0000-0000-000004000000}"/>
    <cellStyle name="Check" xfId="2" xr:uid="{00000000-0005-0000-0000-000005000000}"/>
    <cellStyle name="Check Cell" xfId="9" builtinId="23" customBuiltin="1"/>
    <cellStyle name="Currency" xfId="8" builtinId="4" customBuiltin="1"/>
    <cellStyle name="Header1" xfId="4" xr:uid="{00000000-0005-0000-0000-000008000000}"/>
    <cellStyle name="Header2" xfId="5" xr:uid="{00000000-0005-0000-0000-000009000000}"/>
    <cellStyle name="HeaderTbl" xfId="14" xr:uid="{00000000-0005-0000-0000-00000A000000}"/>
    <cellStyle name="HeaderWS" xfId="10" xr:uid="{00000000-0005-0000-0000-00000B000000}"/>
    <cellStyle name="InpAmt [0dp]" xfId="6" xr:uid="{00000000-0005-0000-0000-00000C000000}"/>
    <cellStyle name="InpAmt [1dp]" xfId="3" xr:uid="{00000000-0005-0000-0000-00000D000000}"/>
    <cellStyle name="InpAmt [2dp]" xfId="13" xr:uid="{00000000-0005-0000-0000-00000E000000}"/>
    <cellStyle name="InpText" xfId="15" xr:uid="{00000000-0005-0000-0000-00000F000000}"/>
    <cellStyle name="Normal" xfId="0" builtinId="0"/>
    <cellStyle name="Normal 2" xfId="17" xr:uid="{00000000-0005-0000-0000-000011000000}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CCFFCC"/>
      <color rgb="FFCCFFFF"/>
      <color rgb="FFFF0000"/>
      <color rgb="FFCCECFF"/>
      <color rgb="FF0000FF"/>
      <color rgb="FFC0C0C0"/>
      <color rgb="FFFFCCCC"/>
      <color rgb="FFCCCCFF"/>
      <color rgb="FFFF505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a:spPr>
      <a:bodyPr vertOverflow="clip" horzOverflow="clip" wrap="square" lIns="27432" tIns="22860" rIns="27432" bIns="22860" rtlCol="0" anchor="ctr" upright="1"/>
      <a:lstStyle>
        <a:defPPr algn="ctr" rtl="0">
          <a:defRPr sz="1000" b="1" i="0" u="none" strike="noStrike" baseline="0">
            <a:solidFill>
              <a:srgbClr val="000000"/>
            </a:solidFill>
            <a:latin typeface="Arial"/>
            <a:cs typeface="Arial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rgb="FFFFFFCC"/>
    <outlinePr summaryBelow="0"/>
    <pageSetUpPr autoPageBreaks="0"/>
  </sheetPr>
  <dimension ref="A1:P101"/>
  <sheetViews>
    <sheetView showGridLines="0" zoomScale="80" zoomScaleNormal="80" workbookViewId="0">
      <pane ySplit="1" topLeftCell="A2" activePane="bottomLeft" state="frozen"/>
      <selection pane="bottomLeft" activeCell="B12" sqref="B12"/>
    </sheetView>
  </sheetViews>
  <sheetFormatPr defaultRowHeight="12.5" x14ac:dyDescent="0.25"/>
  <cols>
    <col min="1" max="1" width="10.7265625" customWidth="1"/>
    <col min="2" max="2" width="25.7265625" customWidth="1"/>
    <col min="3" max="3" width="15.7265625" customWidth="1"/>
    <col min="4" max="4" width="20.7265625" style="3" customWidth="1"/>
    <col min="5" max="5" width="12.7265625" style="3" customWidth="1"/>
    <col min="6" max="6" width="9.1796875" style="3"/>
    <col min="16" max="16" width="9.1796875" style="3"/>
  </cols>
  <sheetData>
    <row r="1" spans="1:16" ht="20.149999999999999" customHeight="1" x14ac:dyDescent="0.25">
      <c r="A1" s="12" t="s">
        <v>6</v>
      </c>
      <c r="B1" s="12" t="s">
        <v>3</v>
      </c>
      <c r="C1" s="12" t="s">
        <v>4</v>
      </c>
      <c r="D1" s="12" t="s">
        <v>5</v>
      </c>
      <c r="E1" s="12" t="s">
        <v>25</v>
      </c>
      <c r="F1"/>
      <c r="P1"/>
    </row>
    <row r="2" spans="1:16" ht="14.5" x14ac:dyDescent="0.25">
      <c r="A2" s="11">
        <v>1</v>
      </c>
      <c r="B2" s="9" t="s">
        <v>111</v>
      </c>
      <c r="C2" s="10" t="s">
        <v>109</v>
      </c>
      <c r="D2" s="8">
        <v>207</v>
      </c>
      <c r="E2" s="156" t="str">
        <f>IF(C2&lt;&gt;"",C2&amp;" - "&amp;COUNTIF(C$2:C2,C2),0)</f>
        <v>u9 - B - 1</v>
      </c>
      <c r="F2"/>
      <c r="P2"/>
    </row>
    <row r="3" spans="1:16" ht="15" customHeight="1" x14ac:dyDescent="0.25">
      <c r="A3" s="11">
        <f>A2+1</f>
        <v>2</v>
      </c>
      <c r="B3" s="9"/>
      <c r="C3" s="10"/>
      <c r="D3" s="8"/>
      <c r="E3" s="11">
        <f>IF(C3&lt;&gt;"",C3&amp;" - "&amp;COUNTIF(C$2:C3,C3),0)</f>
        <v>0</v>
      </c>
      <c r="F3"/>
      <c r="P3"/>
    </row>
    <row r="4" spans="1:16" ht="14.5" x14ac:dyDescent="0.25">
      <c r="A4" s="11">
        <f t="shared" ref="A4:A67" si="0">A3+1</f>
        <v>3</v>
      </c>
      <c r="B4" s="9" t="s">
        <v>112</v>
      </c>
      <c r="C4" s="10" t="s">
        <v>113</v>
      </c>
      <c r="D4" s="8">
        <v>208</v>
      </c>
      <c r="E4" s="11" t="str">
        <f>IF(C4&lt;&gt;"",C4&amp;" - "&amp;COUNTIF(C$2:C4,C4),0)</f>
        <v>U11 - B - 1</v>
      </c>
      <c r="F4"/>
      <c r="P4"/>
    </row>
    <row r="5" spans="1:16" ht="14.5" x14ac:dyDescent="0.25">
      <c r="A5" s="11">
        <f t="shared" si="0"/>
        <v>4</v>
      </c>
      <c r="B5" s="9" t="s">
        <v>167</v>
      </c>
      <c r="C5" s="10" t="s">
        <v>113</v>
      </c>
      <c r="D5" s="8">
        <v>209</v>
      </c>
      <c r="E5" s="11" t="str">
        <f>IF(C5&lt;&gt;"",C5&amp;" - "&amp;COUNTIF(C$2:C5,C5),0)</f>
        <v>U11 - B - 2</v>
      </c>
      <c r="F5"/>
      <c r="P5"/>
    </row>
    <row r="6" spans="1:16" ht="14.5" x14ac:dyDescent="0.25">
      <c r="A6" s="11">
        <f t="shared" si="0"/>
        <v>5</v>
      </c>
      <c r="B6" s="9" t="s">
        <v>114</v>
      </c>
      <c r="C6" s="10" t="s">
        <v>113</v>
      </c>
      <c r="D6" s="8">
        <v>210</v>
      </c>
      <c r="E6" s="11" t="str">
        <f>IF(C6&lt;&gt;"",C6&amp;" - "&amp;COUNTIF(C$2:C6,C6),0)</f>
        <v>U11 - B - 3</v>
      </c>
      <c r="F6"/>
      <c r="P6"/>
    </row>
    <row r="7" spans="1:16" ht="14.5" x14ac:dyDescent="0.25">
      <c r="A7" s="11">
        <f t="shared" si="0"/>
        <v>6</v>
      </c>
      <c r="B7" s="9" t="s">
        <v>115</v>
      </c>
      <c r="C7" s="10" t="s">
        <v>113</v>
      </c>
      <c r="D7" s="8">
        <v>211</v>
      </c>
      <c r="E7" s="11" t="str">
        <f>IF(C7&lt;&gt;"",C7&amp;" - "&amp;COUNTIF(C$2:C7,C7),0)</f>
        <v>U11 - B - 4</v>
      </c>
      <c r="F7"/>
      <c r="P7"/>
    </row>
    <row r="8" spans="1:16" ht="14.5" x14ac:dyDescent="0.25">
      <c r="A8" s="11">
        <f t="shared" si="0"/>
        <v>7</v>
      </c>
      <c r="B8" s="9" t="s">
        <v>116</v>
      </c>
      <c r="C8" s="10" t="s">
        <v>113</v>
      </c>
      <c r="D8" s="8">
        <v>212</v>
      </c>
      <c r="E8" s="11" t="str">
        <f>IF(C8&lt;&gt;"",C8&amp;" - "&amp;COUNTIF(C$2:C8,C8),0)</f>
        <v>U11 - B - 5</v>
      </c>
      <c r="F8"/>
      <c r="P8"/>
    </row>
    <row r="9" spans="1:16" ht="14.5" x14ac:dyDescent="0.25">
      <c r="A9" s="11">
        <f t="shared" si="0"/>
        <v>8</v>
      </c>
      <c r="B9" s="9" t="s">
        <v>117</v>
      </c>
      <c r="C9" s="10" t="s">
        <v>113</v>
      </c>
      <c r="D9" s="8">
        <v>241</v>
      </c>
      <c r="E9" s="11" t="str">
        <f>IF(C9&lt;&gt;"",C9&amp;" - "&amp;COUNTIF(C$2:C9,C9),0)</f>
        <v>U11 - B - 6</v>
      </c>
      <c r="F9"/>
      <c r="P9"/>
    </row>
    <row r="10" spans="1:16" ht="14.5" x14ac:dyDescent="0.25">
      <c r="A10" s="11">
        <f t="shared" si="0"/>
        <v>9</v>
      </c>
      <c r="B10" s="9" t="s">
        <v>118</v>
      </c>
      <c r="C10" s="10" t="s">
        <v>113</v>
      </c>
      <c r="D10" s="8">
        <v>214</v>
      </c>
      <c r="E10" s="11" t="str">
        <f>IF(C10&lt;&gt;"",C10&amp;" - "&amp;COUNTIF(C$2:C10,C10),0)</f>
        <v>U11 - B - 7</v>
      </c>
      <c r="F10"/>
      <c r="P10"/>
    </row>
    <row r="11" spans="1:16" ht="14.5" x14ac:dyDescent="0.25">
      <c r="A11" s="11">
        <f t="shared" si="0"/>
        <v>10</v>
      </c>
      <c r="B11" s="9" t="s">
        <v>168</v>
      </c>
      <c r="C11" s="10" t="s">
        <v>113</v>
      </c>
      <c r="D11" s="8">
        <v>215</v>
      </c>
      <c r="E11" s="11" t="str">
        <f>IF(C11&lt;&gt;"",C11&amp;" - "&amp;COUNTIF(C$2:C11,C11),0)</f>
        <v>U11 - B - 8</v>
      </c>
      <c r="F11"/>
      <c r="P11"/>
    </row>
    <row r="12" spans="1:16" ht="14.5" x14ac:dyDescent="0.25">
      <c r="A12" s="11">
        <f t="shared" si="0"/>
        <v>11</v>
      </c>
      <c r="B12" s="9" t="s">
        <v>119</v>
      </c>
      <c r="C12" s="10" t="s">
        <v>113</v>
      </c>
      <c r="D12" s="8">
        <v>216</v>
      </c>
      <c r="E12" s="11" t="str">
        <f>IF(C12&lt;&gt;"",C12&amp;" - "&amp;COUNTIF(C$2:C12,C12),0)</f>
        <v>U11 - B - 9</v>
      </c>
      <c r="F12"/>
      <c r="P12"/>
    </row>
    <row r="13" spans="1:16" ht="14.5" x14ac:dyDescent="0.25">
      <c r="A13" s="11">
        <f t="shared" si="0"/>
        <v>12</v>
      </c>
      <c r="B13" s="9" t="s">
        <v>120</v>
      </c>
      <c r="C13" s="10" t="s">
        <v>113</v>
      </c>
      <c r="D13" s="8">
        <v>217</v>
      </c>
      <c r="E13" s="11" t="str">
        <f>IF(C13&lt;&gt;"",C13&amp;" - "&amp;COUNTIF(C$2:C13,C13),0)</f>
        <v>U11 - B - 10</v>
      </c>
      <c r="F13"/>
      <c r="P13"/>
    </row>
    <row r="14" spans="1:16" ht="14.5" x14ac:dyDescent="0.25">
      <c r="A14" s="11">
        <f t="shared" si="0"/>
        <v>13</v>
      </c>
      <c r="B14" s="9" t="s">
        <v>166</v>
      </c>
      <c r="C14" s="10" t="s">
        <v>113</v>
      </c>
      <c r="D14" s="8">
        <v>265</v>
      </c>
      <c r="E14" s="11" t="str">
        <f>IF(C14&lt;&gt;"",C14&amp;" - "&amp;COUNTIF(C$2:C14,C14),0)</f>
        <v>U11 - B - 11</v>
      </c>
      <c r="F14"/>
      <c r="P14"/>
    </row>
    <row r="15" spans="1:16" ht="14.5" x14ac:dyDescent="0.25">
      <c r="A15" s="11">
        <f t="shared" si="0"/>
        <v>14</v>
      </c>
      <c r="B15" s="9"/>
      <c r="C15" s="10"/>
      <c r="D15" s="8"/>
      <c r="E15" s="11">
        <f>IF(C15&lt;&gt;"",C15&amp;" - "&amp;COUNTIF(C$2:C15,C15),0)</f>
        <v>0</v>
      </c>
      <c r="F15"/>
      <c r="P15"/>
    </row>
    <row r="16" spans="1:16" ht="14.5" x14ac:dyDescent="0.25">
      <c r="A16" s="11">
        <f t="shared" si="0"/>
        <v>15</v>
      </c>
      <c r="B16" s="9" t="s">
        <v>121</v>
      </c>
      <c r="C16" s="10" t="s">
        <v>122</v>
      </c>
      <c r="D16" s="8">
        <v>218</v>
      </c>
      <c r="E16" s="11" t="str">
        <f>IF(C16&lt;&gt;"",C16&amp;" - "&amp;COUNTIF(C$2:C16,C16),0)</f>
        <v>U13 - B - 1</v>
      </c>
      <c r="F16"/>
      <c r="P16"/>
    </row>
    <row r="17" spans="1:16" ht="14.5" x14ac:dyDescent="0.25">
      <c r="A17" s="11">
        <f t="shared" si="0"/>
        <v>16</v>
      </c>
      <c r="B17" s="9" t="s">
        <v>123</v>
      </c>
      <c r="C17" s="10" t="s">
        <v>122</v>
      </c>
      <c r="D17" s="8">
        <v>219</v>
      </c>
      <c r="E17" s="11" t="str">
        <f>IF(C17&lt;&gt;"",C17&amp;" - "&amp;COUNTIF(C$2:C17,C17),0)</f>
        <v>U13 - B - 2</v>
      </c>
      <c r="F17"/>
      <c r="P17"/>
    </row>
    <row r="18" spans="1:16" ht="14.5" x14ac:dyDescent="0.25">
      <c r="A18" s="11">
        <f t="shared" si="0"/>
        <v>17</v>
      </c>
      <c r="B18" s="9" t="s">
        <v>124</v>
      </c>
      <c r="C18" s="10" t="s">
        <v>122</v>
      </c>
      <c r="D18" s="8">
        <v>220</v>
      </c>
      <c r="E18" s="11" t="str">
        <f>IF(C18&lt;&gt;"",C18&amp;" - "&amp;COUNTIF(C$2:C18,C18),0)</f>
        <v>U13 - B - 3</v>
      </c>
      <c r="F18"/>
      <c r="P18"/>
    </row>
    <row r="19" spans="1:16" ht="14.5" x14ac:dyDescent="0.25">
      <c r="A19" s="11">
        <f t="shared" si="0"/>
        <v>18</v>
      </c>
      <c r="B19" s="9" t="s">
        <v>125</v>
      </c>
      <c r="C19" s="10" t="s">
        <v>122</v>
      </c>
      <c r="D19" s="8">
        <v>221</v>
      </c>
      <c r="E19" s="11" t="str">
        <f>IF(C19&lt;&gt;"",C19&amp;" - "&amp;COUNTIF(C$2:C19,C19),0)</f>
        <v>U13 - B - 4</v>
      </c>
      <c r="F19"/>
      <c r="P19"/>
    </row>
    <row r="20" spans="1:16" ht="14.5" x14ac:dyDescent="0.25">
      <c r="A20" s="11">
        <f t="shared" si="0"/>
        <v>19</v>
      </c>
      <c r="B20" s="9" t="s">
        <v>126</v>
      </c>
      <c r="C20" s="10" t="s">
        <v>122</v>
      </c>
      <c r="D20" s="8">
        <v>222</v>
      </c>
      <c r="E20" s="11" t="str">
        <f>IF(C20&lt;&gt;"",C20&amp;" - "&amp;COUNTIF(C$2:C20,C20),0)</f>
        <v>U13 - B - 5</v>
      </c>
      <c r="F20"/>
      <c r="P20"/>
    </row>
    <row r="21" spans="1:16" ht="14.5" x14ac:dyDescent="0.25">
      <c r="A21" s="11">
        <f t="shared" si="0"/>
        <v>20</v>
      </c>
      <c r="B21" s="9" t="s">
        <v>127</v>
      </c>
      <c r="C21" s="10" t="s">
        <v>122</v>
      </c>
      <c r="D21" s="8">
        <v>223</v>
      </c>
      <c r="E21" s="11" t="str">
        <f>IF(C21&lt;&gt;"",C21&amp;" - "&amp;COUNTIF(C$2:C21,C21),0)</f>
        <v>U13 - B - 6</v>
      </c>
      <c r="F21"/>
      <c r="P21"/>
    </row>
    <row r="22" spans="1:16" ht="14.5" x14ac:dyDescent="0.25">
      <c r="A22" s="11">
        <f t="shared" si="0"/>
        <v>21</v>
      </c>
      <c r="B22" s="9" t="s">
        <v>128</v>
      </c>
      <c r="C22" s="10" t="s">
        <v>122</v>
      </c>
      <c r="D22" s="8">
        <v>224</v>
      </c>
      <c r="E22" s="11" t="str">
        <f>IF(C22&lt;&gt;"",C22&amp;" - "&amp;COUNTIF(C$2:C22,C22),0)</f>
        <v>U13 - B - 7</v>
      </c>
      <c r="F22"/>
      <c r="P22"/>
    </row>
    <row r="23" spans="1:16" ht="14.5" x14ac:dyDescent="0.25">
      <c r="A23" s="11">
        <f t="shared" si="0"/>
        <v>22</v>
      </c>
      <c r="B23" s="9" t="s">
        <v>129</v>
      </c>
      <c r="C23" s="10" t="s">
        <v>122</v>
      </c>
      <c r="D23" s="8">
        <v>225</v>
      </c>
      <c r="E23" s="11" t="str">
        <f>IF(C23&lt;&gt;"",C23&amp;" - "&amp;COUNTIF(C$2:C23,C23),0)</f>
        <v>U13 - B - 8</v>
      </c>
      <c r="F23"/>
      <c r="P23"/>
    </row>
    <row r="24" spans="1:16" s="3" customFormat="1" ht="14.5" x14ac:dyDescent="0.25">
      <c r="A24" s="11">
        <f t="shared" si="0"/>
        <v>23</v>
      </c>
      <c r="B24" s="9" t="s">
        <v>130</v>
      </c>
      <c r="C24" s="10" t="s">
        <v>122</v>
      </c>
      <c r="D24" s="8">
        <v>226</v>
      </c>
      <c r="E24" s="11" t="str">
        <f>IF(C24&lt;&gt;"",C24&amp;" - "&amp;COUNTIF(C$2:C24,C24),0)</f>
        <v>U13 - B - 9</v>
      </c>
    </row>
    <row r="25" spans="1:16" s="3" customFormat="1" ht="14.5" x14ac:dyDescent="0.25">
      <c r="A25" s="11">
        <f t="shared" si="0"/>
        <v>24</v>
      </c>
      <c r="B25" s="9" t="s">
        <v>131</v>
      </c>
      <c r="C25" s="10" t="s">
        <v>122</v>
      </c>
      <c r="D25" s="8">
        <v>227</v>
      </c>
      <c r="E25" s="11" t="str">
        <f>IF(C25&lt;&gt;"",C25&amp;" - "&amp;COUNTIF(C$2:C25,C25),0)</f>
        <v>U13 - B - 10</v>
      </c>
    </row>
    <row r="26" spans="1:16" s="3" customFormat="1" ht="14.5" x14ac:dyDescent="0.25">
      <c r="A26" s="11">
        <f t="shared" si="0"/>
        <v>25</v>
      </c>
      <c r="B26" s="9" t="s">
        <v>132</v>
      </c>
      <c r="C26" s="10" t="s">
        <v>122</v>
      </c>
      <c r="D26" s="8">
        <v>228</v>
      </c>
      <c r="E26" s="11" t="str">
        <f>IF(C26&lt;&gt;"",C26&amp;" - "&amp;COUNTIF(C$2:C26,C26),0)</f>
        <v>U13 - B - 11</v>
      </c>
    </row>
    <row r="27" spans="1:16" s="3" customFormat="1" ht="14.5" x14ac:dyDescent="0.25">
      <c r="A27" s="11">
        <f t="shared" si="0"/>
        <v>26</v>
      </c>
      <c r="B27" s="9" t="s">
        <v>133</v>
      </c>
      <c r="C27" s="10" t="s">
        <v>122</v>
      </c>
      <c r="D27" s="8">
        <v>229</v>
      </c>
      <c r="E27" s="11" t="str">
        <f>IF(C27&lt;&gt;"",C27&amp;" - "&amp;COUNTIF(C$2:C27,C27),0)</f>
        <v>U13 - B - 12</v>
      </c>
    </row>
    <row r="28" spans="1:16" s="3" customFormat="1" ht="14.5" x14ac:dyDescent="0.25">
      <c r="A28" s="11">
        <f t="shared" si="0"/>
        <v>27</v>
      </c>
      <c r="B28" s="9" t="s">
        <v>134</v>
      </c>
      <c r="C28" s="10" t="s">
        <v>122</v>
      </c>
      <c r="D28" s="8">
        <v>230</v>
      </c>
      <c r="E28" s="11" t="str">
        <f>IF(C28&lt;&gt;"",C28&amp;" - "&amp;COUNTIF(C$2:C28,C28),0)</f>
        <v>U13 - B - 13</v>
      </c>
    </row>
    <row r="29" spans="1:16" s="3" customFormat="1" ht="14.5" x14ac:dyDescent="0.25">
      <c r="A29" s="11">
        <f t="shared" si="0"/>
        <v>28</v>
      </c>
      <c r="B29" s="9" t="s">
        <v>135</v>
      </c>
      <c r="C29" s="10" t="s">
        <v>122</v>
      </c>
      <c r="D29" s="8">
        <v>231</v>
      </c>
      <c r="E29" s="11" t="str">
        <f>IF(C29&lt;&gt;"",C29&amp;" - "&amp;COUNTIF(C$2:C29,C29),0)</f>
        <v>U13 - B - 14</v>
      </c>
    </row>
    <row r="30" spans="1:16" s="3" customFormat="1" ht="14.5" x14ac:dyDescent="0.25">
      <c r="A30" s="11">
        <f t="shared" si="0"/>
        <v>29</v>
      </c>
      <c r="B30" s="9" t="s">
        <v>136</v>
      </c>
      <c r="C30" s="10" t="s">
        <v>122</v>
      </c>
      <c r="D30" s="8">
        <v>232</v>
      </c>
      <c r="E30" s="11" t="str">
        <f>IF(C30&lt;&gt;"",C30&amp;" - "&amp;COUNTIF(C$2:C30,C30),0)</f>
        <v>U13 - B - 15</v>
      </c>
    </row>
    <row r="31" spans="1:16" s="3" customFormat="1" ht="14.5" x14ac:dyDescent="0.25">
      <c r="A31" s="11">
        <f t="shared" si="0"/>
        <v>30</v>
      </c>
      <c r="B31" s="9"/>
      <c r="C31" s="10"/>
      <c r="D31" s="8"/>
      <c r="E31" s="11">
        <f>IF(C31&lt;&gt;"",C31&amp;" - "&amp;COUNTIF(C$2:C31,C31),0)</f>
        <v>0</v>
      </c>
    </row>
    <row r="32" spans="1:16" s="3" customFormat="1" ht="14.5" x14ac:dyDescent="0.25">
      <c r="A32" s="11">
        <f t="shared" si="0"/>
        <v>31</v>
      </c>
      <c r="B32" s="9"/>
      <c r="C32" s="10"/>
      <c r="D32" s="8"/>
      <c r="E32" s="11">
        <f>IF(C32&lt;&gt;"",C32&amp;" - "&amp;COUNTIF(C$2:C32,C32),0)</f>
        <v>0</v>
      </c>
    </row>
    <row r="33" spans="1:8" s="3" customFormat="1" ht="14.5" x14ac:dyDescent="0.25">
      <c r="A33" s="11">
        <f t="shared" si="0"/>
        <v>32</v>
      </c>
      <c r="B33" s="9" t="s">
        <v>137</v>
      </c>
      <c r="C33" s="10" t="s">
        <v>164</v>
      </c>
      <c r="D33" s="8">
        <v>233</v>
      </c>
      <c r="E33" s="11" t="str">
        <f>IF(C33&lt;&gt;"",C33&amp;" - "&amp;COUNTIF(C$2:C33,C33),0)</f>
        <v>U15 - B - 1</v>
      </c>
    </row>
    <row r="34" spans="1:8" s="3" customFormat="1" ht="14.5" x14ac:dyDescent="0.25">
      <c r="A34" s="11">
        <f t="shared" si="0"/>
        <v>33</v>
      </c>
      <c r="B34" s="9" t="s">
        <v>138</v>
      </c>
      <c r="C34" s="10" t="s">
        <v>164</v>
      </c>
      <c r="D34" s="8">
        <v>234</v>
      </c>
      <c r="E34" s="11" t="str">
        <f>IF(C34&lt;&gt;"",C34&amp;" - "&amp;COUNTIF(C$2:C34,C34),0)</f>
        <v>U15 - B - 2</v>
      </c>
    </row>
    <row r="35" spans="1:8" s="3" customFormat="1" ht="14.5" x14ac:dyDescent="0.25">
      <c r="A35" s="11">
        <f t="shared" si="0"/>
        <v>34</v>
      </c>
      <c r="B35" s="9" t="s">
        <v>139</v>
      </c>
      <c r="C35" s="10" t="s">
        <v>164</v>
      </c>
      <c r="D35" s="8">
        <v>235</v>
      </c>
      <c r="E35" s="11" t="str">
        <f>IF(C35&lt;&gt;"",C35&amp;" - "&amp;COUNTIF(C$2:C35,C35),0)</f>
        <v>U15 - B - 3</v>
      </c>
    </row>
    <row r="36" spans="1:8" s="3" customFormat="1" ht="14.5" x14ac:dyDescent="0.25">
      <c r="A36" s="11">
        <f t="shared" si="0"/>
        <v>35</v>
      </c>
      <c r="B36" s="9" t="s">
        <v>140</v>
      </c>
      <c r="C36" s="10" t="s">
        <v>164</v>
      </c>
      <c r="D36" s="8">
        <v>236</v>
      </c>
      <c r="E36" s="11" t="str">
        <f>IF(C36&lt;&gt;"",C36&amp;" - "&amp;COUNTIF(C$2:C36,C36),0)</f>
        <v>U15 - B - 4</v>
      </c>
    </row>
    <row r="37" spans="1:8" s="3" customFormat="1" ht="14.5" x14ac:dyDescent="0.25">
      <c r="A37" s="11">
        <f t="shared" si="0"/>
        <v>36</v>
      </c>
      <c r="B37" s="9" t="s">
        <v>141</v>
      </c>
      <c r="C37" s="10" t="s">
        <v>164</v>
      </c>
      <c r="D37" s="8">
        <v>237</v>
      </c>
      <c r="E37" s="11" t="str">
        <f>IF(C37&lt;&gt;"",C37&amp;" - "&amp;COUNTIF(C$2:C37,C37),0)</f>
        <v>U15 - B - 5</v>
      </c>
    </row>
    <row r="38" spans="1:8" s="3" customFormat="1" ht="14.5" x14ac:dyDescent="0.25">
      <c r="A38" s="11">
        <f t="shared" si="0"/>
        <v>37</v>
      </c>
      <c r="B38" s="9" t="s">
        <v>142</v>
      </c>
      <c r="C38" s="10" t="s">
        <v>164</v>
      </c>
      <c r="D38" s="8">
        <v>238</v>
      </c>
      <c r="E38" s="11" t="str">
        <f>IF(C38&lt;&gt;"",C38&amp;" - "&amp;COUNTIF(C$2:C38,C38),0)</f>
        <v>U15 - B - 6</v>
      </c>
    </row>
    <row r="39" spans="1:8" s="3" customFormat="1" ht="14.5" x14ac:dyDescent="0.25">
      <c r="A39" s="11">
        <f t="shared" si="0"/>
        <v>38</v>
      </c>
      <c r="B39" s="9" t="s">
        <v>143</v>
      </c>
      <c r="C39" s="10" t="s">
        <v>164</v>
      </c>
      <c r="D39" s="8">
        <v>239</v>
      </c>
      <c r="E39" s="11" t="str">
        <f>IF(C39&lt;&gt;"",C39&amp;" - "&amp;COUNTIF(C$2:C39,C39),0)</f>
        <v>U15 - B - 7</v>
      </c>
    </row>
    <row r="40" spans="1:8" s="3" customFormat="1" ht="14.5" x14ac:dyDescent="0.25">
      <c r="A40" s="11">
        <f t="shared" si="0"/>
        <v>39</v>
      </c>
      <c r="B40" s="9" t="s">
        <v>144</v>
      </c>
      <c r="C40" s="10" t="s">
        <v>164</v>
      </c>
      <c r="D40" s="8">
        <v>240</v>
      </c>
      <c r="E40" s="11" t="str">
        <f>IF(C40&lt;&gt;"",C40&amp;" - "&amp;COUNTIF(C$2:C40,C40),0)</f>
        <v>U15 - B - 8</v>
      </c>
    </row>
    <row r="41" spans="1:8" s="3" customFormat="1" ht="14.5" x14ac:dyDescent="0.25">
      <c r="A41" s="11">
        <f t="shared" si="0"/>
        <v>40</v>
      </c>
      <c r="B41" s="9" t="s">
        <v>145</v>
      </c>
      <c r="C41" s="10" t="s">
        <v>164</v>
      </c>
      <c r="D41" s="8">
        <v>267</v>
      </c>
      <c r="E41" s="11" t="str">
        <f>IF(C41&lt;&gt;"",C41&amp;" - "&amp;COUNTIF(C$2:C41,C41),0)</f>
        <v>U15 - B - 9</v>
      </c>
    </row>
    <row r="42" spans="1:8" s="3" customFormat="1" ht="14.5" x14ac:dyDescent="0.25">
      <c r="A42" s="11">
        <f t="shared" si="0"/>
        <v>41</v>
      </c>
      <c r="B42" s="9" t="s">
        <v>146</v>
      </c>
      <c r="C42" s="10" t="s">
        <v>164</v>
      </c>
      <c r="D42" s="8">
        <v>242</v>
      </c>
      <c r="E42" s="11" t="str">
        <f>IF(C42&lt;&gt;"",C42&amp;" - "&amp;COUNTIF(C$2:C42,C42),0)</f>
        <v>U15 - B - 10</v>
      </c>
    </row>
    <row r="43" spans="1:8" s="3" customFormat="1" ht="14.5" x14ac:dyDescent="0.25">
      <c r="A43" s="11">
        <f t="shared" si="0"/>
        <v>42</v>
      </c>
      <c r="B43" s="9" t="s">
        <v>147</v>
      </c>
      <c r="C43" s="10" t="s">
        <v>164</v>
      </c>
      <c r="D43" s="8">
        <v>243</v>
      </c>
      <c r="E43" s="11" t="str">
        <f>IF(C43&lt;&gt;"",C43&amp;" - "&amp;COUNTIF(C$2:C43,C43),0)</f>
        <v>U15 - B - 11</v>
      </c>
    </row>
    <row r="44" spans="1:8" s="3" customFormat="1" ht="14.5" x14ac:dyDescent="0.25">
      <c r="A44" s="11">
        <f t="shared" si="0"/>
        <v>43</v>
      </c>
      <c r="B44" s="9" t="s">
        <v>148</v>
      </c>
      <c r="C44" s="10" t="s">
        <v>164</v>
      </c>
      <c r="D44" s="8">
        <v>244</v>
      </c>
      <c r="E44" s="11" t="str">
        <f>IF(C44&lt;&gt;"",C44&amp;" - "&amp;COUNTIF(C$2:C44,C44),0)</f>
        <v>U15 - B - 12</v>
      </c>
    </row>
    <row r="45" spans="1:8" s="3" customFormat="1" ht="14.5" x14ac:dyDescent="0.25">
      <c r="A45" s="11">
        <f t="shared" si="0"/>
        <v>44</v>
      </c>
      <c r="B45" s="9" t="s">
        <v>149</v>
      </c>
      <c r="C45" s="10" t="s">
        <v>164</v>
      </c>
      <c r="D45" s="8">
        <v>245</v>
      </c>
      <c r="E45" s="11" t="str">
        <f>IF(C45&lt;&gt;"",C45&amp;" - "&amp;COUNTIF(C$2:C45,C45),0)</f>
        <v>U15 - B - 13</v>
      </c>
      <c r="H45" s="7"/>
    </row>
    <row r="46" spans="1:8" s="3" customFormat="1" ht="14.5" x14ac:dyDescent="0.25">
      <c r="A46" s="11">
        <f t="shared" si="0"/>
        <v>45</v>
      </c>
      <c r="B46" s="9" t="s">
        <v>150</v>
      </c>
      <c r="C46" s="10" t="s">
        <v>164</v>
      </c>
      <c r="D46" s="8">
        <v>246</v>
      </c>
      <c r="E46" s="11" t="str">
        <f>IF(C46&lt;&gt;"",C46&amp;" - "&amp;COUNTIF(C$2:C46,C46),0)</f>
        <v>U15 - B - 14</v>
      </c>
      <c r="H46" s="7"/>
    </row>
    <row r="47" spans="1:8" s="3" customFormat="1" ht="14.5" x14ac:dyDescent="0.25">
      <c r="A47" s="11">
        <f t="shared" si="0"/>
        <v>46</v>
      </c>
      <c r="B47" s="9"/>
      <c r="C47" s="10"/>
      <c r="D47" s="8"/>
      <c r="E47" s="11">
        <f>IF(C47&lt;&gt;"",C47&amp;" - "&amp;COUNTIF(C$2:C47,C47),0)</f>
        <v>0</v>
      </c>
      <c r="H47" s="7"/>
    </row>
    <row r="48" spans="1:8" s="3" customFormat="1" ht="14.5" x14ac:dyDescent="0.25">
      <c r="A48" s="11">
        <f t="shared" si="0"/>
        <v>47</v>
      </c>
      <c r="B48" s="9" t="s">
        <v>151</v>
      </c>
      <c r="C48" s="10" t="s">
        <v>152</v>
      </c>
      <c r="D48" s="8">
        <v>247</v>
      </c>
      <c r="E48" s="11" t="str">
        <f>IF(C48&lt;&gt;"",C48&amp;" - "&amp;COUNTIF(C$2:C48,C48),0)</f>
        <v>U17 - M - 1</v>
      </c>
      <c r="H48" s="7"/>
    </row>
    <row r="49" spans="1:8" s="3" customFormat="1" ht="14.5" x14ac:dyDescent="0.25">
      <c r="A49" s="11">
        <f t="shared" si="0"/>
        <v>48</v>
      </c>
      <c r="B49" s="9" t="s">
        <v>153</v>
      </c>
      <c r="C49" s="10" t="s">
        <v>152</v>
      </c>
      <c r="D49" s="8">
        <v>248</v>
      </c>
      <c r="E49" s="11" t="str">
        <f>IF(C49&lt;&gt;"",C49&amp;" - "&amp;COUNTIF(C$2:C49,C49),0)</f>
        <v>U17 - M - 2</v>
      </c>
      <c r="H49" s="7"/>
    </row>
    <row r="50" spans="1:8" s="3" customFormat="1" ht="14.5" x14ac:dyDescent="0.25">
      <c r="A50" s="11">
        <f t="shared" si="0"/>
        <v>49</v>
      </c>
      <c r="B50" s="9" t="s">
        <v>154</v>
      </c>
      <c r="C50" s="10" t="s">
        <v>152</v>
      </c>
      <c r="D50" s="8">
        <v>249</v>
      </c>
      <c r="E50" s="11" t="str">
        <f>IF(C50&lt;&gt;"",C50&amp;" - "&amp;COUNTIF(C$2:C50,C50),0)</f>
        <v>U17 - M - 3</v>
      </c>
      <c r="H50" s="7"/>
    </row>
    <row r="51" spans="1:8" s="13" customFormat="1" ht="14.5" x14ac:dyDescent="0.25">
      <c r="A51" s="11">
        <f t="shared" si="0"/>
        <v>50</v>
      </c>
      <c r="B51" s="9" t="s">
        <v>155</v>
      </c>
      <c r="C51" s="10" t="s">
        <v>152</v>
      </c>
      <c r="D51" s="8">
        <v>250</v>
      </c>
      <c r="E51" s="11" t="str">
        <f>IF(C51&lt;&gt;"",C51&amp;" - "&amp;COUNTIF(C$2:C51,C51),0)</f>
        <v>U17 - M - 4</v>
      </c>
      <c r="H51" s="7"/>
    </row>
    <row r="52" spans="1:8" s="13" customFormat="1" ht="14.5" x14ac:dyDescent="0.25">
      <c r="A52" s="11">
        <f t="shared" si="0"/>
        <v>51</v>
      </c>
      <c r="B52" s="9"/>
      <c r="C52" s="10"/>
      <c r="D52" s="8"/>
      <c r="E52" s="11">
        <f>IF(C52&lt;&gt;"",C52&amp;" - "&amp;COUNTIF(C$2:C52,C52),0)</f>
        <v>0</v>
      </c>
      <c r="H52" s="7"/>
    </row>
    <row r="53" spans="1:8" s="13" customFormat="1" ht="14.5" x14ac:dyDescent="0.25">
      <c r="A53" s="11">
        <f t="shared" si="0"/>
        <v>52</v>
      </c>
      <c r="B53" s="9"/>
      <c r="C53" s="10"/>
      <c r="D53" s="8"/>
      <c r="E53" s="11">
        <f>IF(C53&lt;&gt;"",C53&amp;" - "&amp;COUNTIF(C$2:C53,C53),0)</f>
        <v>0</v>
      </c>
      <c r="H53" s="7"/>
    </row>
    <row r="54" spans="1:8" s="13" customFormat="1" ht="14.5" x14ac:dyDescent="0.25">
      <c r="A54" s="11">
        <f t="shared" si="0"/>
        <v>53</v>
      </c>
      <c r="B54" s="9" t="s">
        <v>156</v>
      </c>
      <c r="C54" s="10" t="s">
        <v>157</v>
      </c>
      <c r="D54" s="8">
        <v>251</v>
      </c>
      <c r="E54" s="11" t="str">
        <f>IF(C54&lt;&gt;"",C54&amp;" - "&amp;COUNTIF(C$2:C54,C54),0)</f>
        <v>U20 - M - 1</v>
      </c>
      <c r="H54" s="7"/>
    </row>
    <row r="55" spans="1:8" s="13" customFormat="1" ht="14.5" x14ac:dyDescent="0.25">
      <c r="A55" s="11">
        <f t="shared" si="0"/>
        <v>54</v>
      </c>
      <c r="B55" s="9" t="s">
        <v>158</v>
      </c>
      <c r="C55" s="10" t="s">
        <v>157</v>
      </c>
      <c r="D55" s="8">
        <v>252</v>
      </c>
      <c r="E55" s="11" t="str">
        <f>IF(C55&lt;&gt;"",C55&amp;" - "&amp;COUNTIF(C$2:C55,C55),0)</f>
        <v>U20 - M - 2</v>
      </c>
      <c r="H55" s="7"/>
    </row>
    <row r="56" spans="1:8" s="13" customFormat="1" ht="14.5" x14ac:dyDescent="0.25">
      <c r="A56" s="11">
        <f t="shared" si="0"/>
        <v>55</v>
      </c>
      <c r="B56" s="9" t="s">
        <v>159</v>
      </c>
      <c r="C56" s="10" t="s">
        <v>157</v>
      </c>
      <c r="D56" s="8">
        <v>253</v>
      </c>
      <c r="E56" s="11" t="str">
        <f>IF(C56&lt;&gt;"",C56&amp;" - "&amp;COUNTIF(C$2:C56,C56),0)</f>
        <v>U20 - M - 3</v>
      </c>
      <c r="H56" s="7"/>
    </row>
    <row r="57" spans="1:8" s="13" customFormat="1" ht="14.5" x14ac:dyDescent="0.25">
      <c r="A57" s="11">
        <f t="shared" si="0"/>
        <v>56</v>
      </c>
      <c r="B57" s="9" t="s">
        <v>160</v>
      </c>
      <c r="C57" s="10" t="s">
        <v>157</v>
      </c>
      <c r="D57" s="8">
        <v>254</v>
      </c>
      <c r="E57" s="11" t="str">
        <f>IF(C57&lt;&gt;"",C57&amp;" - "&amp;COUNTIF(C$2:C57,C57),0)</f>
        <v>U20 - M - 4</v>
      </c>
      <c r="H57" s="7"/>
    </row>
    <row r="58" spans="1:8" s="13" customFormat="1" ht="14.5" x14ac:dyDescent="0.25">
      <c r="A58" s="11">
        <f t="shared" si="0"/>
        <v>57</v>
      </c>
      <c r="B58" s="9" t="s">
        <v>161</v>
      </c>
      <c r="C58" s="10" t="s">
        <v>157</v>
      </c>
      <c r="D58" s="8">
        <v>255</v>
      </c>
      <c r="E58" s="11" t="str">
        <f>IF(C58&lt;&gt;"",C58&amp;" - "&amp;COUNTIF(C$2:C58,C58),0)</f>
        <v>U20 - M - 5</v>
      </c>
      <c r="H58" s="7"/>
    </row>
    <row r="59" spans="1:8" s="13" customFormat="1" ht="14.5" x14ac:dyDescent="0.25">
      <c r="A59" s="11">
        <f t="shared" si="0"/>
        <v>58</v>
      </c>
      <c r="B59" s="9" t="s">
        <v>162</v>
      </c>
      <c r="C59" s="10" t="s">
        <v>157</v>
      </c>
      <c r="D59" s="8">
        <v>256</v>
      </c>
      <c r="E59" s="11" t="str">
        <f>IF(C59&lt;&gt;"",C59&amp;" - "&amp;COUNTIF(C$2:C59,C59),0)</f>
        <v>U20 - M - 6</v>
      </c>
      <c r="H59" s="7"/>
    </row>
    <row r="60" spans="1:8" s="13" customFormat="1" ht="14.5" x14ac:dyDescent="0.25">
      <c r="A60" s="11">
        <f t="shared" si="0"/>
        <v>59</v>
      </c>
      <c r="B60" s="9" t="s">
        <v>163</v>
      </c>
      <c r="C60" s="10" t="s">
        <v>157</v>
      </c>
      <c r="D60" s="8">
        <v>257</v>
      </c>
      <c r="E60" s="11" t="str">
        <f>IF(C60&lt;&gt;"",C60&amp;" - "&amp;COUNTIF(C$2:C60,C60),0)</f>
        <v>U20 - M - 7</v>
      </c>
      <c r="H60" s="7"/>
    </row>
    <row r="61" spans="1:8" s="13" customFormat="1" ht="14.5" x14ac:dyDescent="0.25">
      <c r="A61" s="11">
        <f t="shared" si="0"/>
        <v>60</v>
      </c>
      <c r="B61" s="9" t="s">
        <v>165</v>
      </c>
      <c r="C61" s="10" t="s">
        <v>157</v>
      </c>
      <c r="D61" s="8">
        <v>266</v>
      </c>
      <c r="E61" s="11" t="str">
        <f>IF(C61&lt;&gt;"",C61&amp;" - "&amp;COUNTIF(C$2:C61,C61),0)</f>
        <v>U20 - M - 8</v>
      </c>
      <c r="H61" s="7"/>
    </row>
    <row r="62" spans="1:8" s="13" customFormat="1" ht="14.5" x14ac:dyDescent="0.25">
      <c r="A62" s="11">
        <f t="shared" si="0"/>
        <v>61</v>
      </c>
      <c r="B62" s="9"/>
      <c r="C62" s="10"/>
      <c r="D62" s="8"/>
      <c r="E62" s="11">
        <f>IF(C62&lt;&gt;"",C62&amp;" - "&amp;COUNTIF(C$2:C62,C62),0)</f>
        <v>0</v>
      </c>
      <c r="H62" s="7"/>
    </row>
    <row r="63" spans="1:8" s="13" customFormat="1" ht="14.5" x14ac:dyDescent="0.25">
      <c r="A63" s="11">
        <f t="shared" si="0"/>
        <v>62</v>
      </c>
      <c r="B63" s="9"/>
      <c r="C63" s="10"/>
      <c r="D63" s="8"/>
      <c r="E63" s="11">
        <f>IF(C63&lt;&gt;"",C63&amp;" - "&amp;COUNTIF(C$2:C63,C63),0)</f>
        <v>0</v>
      </c>
      <c r="H63" s="7"/>
    </row>
    <row r="64" spans="1:8" s="13" customFormat="1" ht="14.5" x14ac:dyDescent="0.25">
      <c r="A64" s="11">
        <f t="shared" si="0"/>
        <v>63</v>
      </c>
      <c r="B64" s="9"/>
      <c r="C64" s="10"/>
      <c r="D64" s="8"/>
      <c r="E64" s="11">
        <f>IF(C64&lt;&gt;"",C64&amp;" - "&amp;COUNTIF(C$2:C64,C64),0)</f>
        <v>0</v>
      </c>
      <c r="H64" s="7"/>
    </row>
    <row r="65" spans="1:8" s="13" customFormat="1" ht="14.5" x14ac:dyDescent="0.25">
      <c r="A65" s="11">
        <f t="shared" si="0"/>
        <v>64</v>
      </c>
      <c r="B65" s="9"/>
      <c r="C65" s="10"/>
      <c r="D65" s="8"/>
      <c r="E65" s="11">
        <f>IF(C65&lt;&gt;"",C65&amp;" - "&amp;COUNTIF(C$2:C65,C65),0)</f>
        <v>0</v>
      </c>
      <c r="H65" s="7"/>
    </row>
    <row r="66" spans="1:8" s="13" customFormat="1" ht="14.5" x14ac:dyDescent="0.25">
      <c r="A66" s="11">
        <f t="shared" si="0"/>
        <v>65</v>
      </c>
      <c r="B66" s="9"/>
      <c r="C66" s="10"/>
      <c r="D66" s="8"/>
      <c r="E66" s="11">
        <f>IF(C66&lt;&gt;"",C66&amp;" - "&amp;COUNTIF(C$2:C66,C66),0)</f>
        <v>0</v>
      </c>
      <c r="H66" s="7"/>
    </row>
    <row r="67" spans="1:8" s="13" customFormat="1" ht="14.5" x14ac:dyDescent="0.25">
      <c r="A67" s="11">
        <f t="shared" si="0"/>
        <v>66</v>
      </c>
      <c r="B67" s="9"/>
      <c r="C67" s="10"/>
      <c r="D67" s="8"/>
      <c r="E67" s="11">
        <f>IF(C67&lt;&gt;"",C67&amp;" - "&amp;COUNTIF(C$2:C67,C67),0)</f>
        <v>0</v>
      </c>
      <c r="H67" s="7"/>
    </row>
    <row r="68" spans="1:8" s="13" customFormat="1" ht="14.5" x14ac:dyDescent="0.25">
      <c r="A68" s="11">
        <f t="shared" ref="A68:A101" si="1">A67+1</f>
        <v>67</v>
      </c>
      <c r="B68" s="9"/>
      <c r="C68" s="10"/>
      <c r="D68" s="8"/>
      <c r="E68" s="11">
        <f>IF(C68&lt;&gt;"",C68&amp;" - "&amp;COUNTIF(C$2:C68,C68),0)</f>
        <v>0</v>
      </c>
      <c r="H68" s="7"/>
    </row>
    <row r="69" spans="1:8" s="13" customFormat="1" ht="14.5" x14ac:dyDescent="0.25">
      <c r="A69" s="11">
        <f t="shared" si="1"/>
        <v>68</v>
      </c>
      <c r="B69" s="9"/>
      <c r="C69" s="10"/>
      <c r="D69" s="8"/>
      <c r="E69" s="11">
        <f>IF(C69&lt;&gt;"",C69&amp;" - "&amp;COUNTIF(C$2:C69,C69),0)</f>
        <v>0</v>
      </c>
      <c r="H69" s="7"/>
    </row>
    <row r="70" spans="1:8" s="13" customFormat="1" ht="14.5" x14ac:dyDescent="0.25">
      <c r="A70" s="11">
        <f t="shared" si="1"/>
        <v>69</v>
      </c>
      <c r="B70" s="9"/>
      <c r="C70" s="10"/>
      <c r="D70" s="8"/>
      <c r="E70" s="11">
        <f>IF(C70&lt;&gt;"",C70&amp;" - "&amp;COUNTIF(C$2:C70,C70),0)</f>
        <v>0</v>
      </c>
      <c r="H70" s="7"/>
    </row>
    <row r="71" spans="1:8" s="13" customFormat="1" ht="14.5" x14ac:dyDescent="0.25">
      <c r="A71" s="11">
        <f t="shared" si="1"/>
        <v>70</v>
      </c>
      <c r="B71" s="9"/>
      <c r="C71" s="10"/>
      <c r="D71" s="8"/>
      <c r="E71" s="11">
        <f>IF(C71&lt;&gt;"",C71&amp;" - "&amp;COUNTIF(C$2:C71,C71),0)</f>
        <v>0</v>
      </c>
      <c r="H71" s="7"/>
    </row>
    <row r="72" spans="1:8" s="13" customFormat="1" ht="14.5" x14ac:dyDescent="0.25">
      <c r="A72" s="11">
        <f t="shared" si="1"/>
        <v>71</v>
      </c>
      <c r="B72" s="9"/>
      <c r="C72" s="10"/>
      <c r="D72" s="8"/>
      <c r="E72" s="11">
        <f>IF(C72&lt;&gt;"",C72&amp;" - "&amp;COUNTIF(C$2:C72,C72),0)</f>
        <v>0</v>
      </c>
      <c r="H72" s="7"/>
    </row>
    <row r="73" spans="1:8" s="13" customFormat="1" ht="14.5" x14ac:dyDescent="0.25">
      <c r="A73" s="11">
        <f t="shared" si="1"/>
        <v>72</v>
      </c>
      <c r="B73" s="9"/>
      <c r="C73" s="10"/>
      <c r="D73" s="8"/>
      <c r="E73" s="11">
        <f>IF(C73&lt;&gt;"",C73&amp;" - "&amp;COUNTIF(C$2:C73,C73),0)</f>
        <v>0</v>
      </c>
      <c r="H73" s="7"/>
    </row>
    <row r="74" spans="1:8" s="13" customFormat="1" ht="14.5" x14ac:dyDescent="0.25">
      <c r="A74" s="11">
        <f t="shared" si="1"/>
        <v>73</v>
      </c>
      <c r="B74" s="9"/>
      <c r="C74" s="10"/>
      <c r="D74" s="8"/>
      <c r="E74" s="11">
        <f>IF(C74&lt;&gt;"",C74&amp;" - "&amp;COUNTIF(C$2:C74,C74),0)</f>
        <v>0</v>
      </c>
      <c r="H74" s="7"/>
    </row>
    <row r="75" spans="1:8" s="13" customFormat="1" ht="14.5" x14ac:dyDescent="0.25">
      <c r="A75" s="11">
        <f t="shared" si="1"/>
        <v>74</v>
      </c>
      <c r="B75" s="9"/>
      <c r="C75" s="10"/>
      <c r="D75" s="8"/>
      <c r="E75" s="11">
        <f>IF(C75&lt;&gt;"",C75&amp;" - "&amp;COUNTIF(C$2:C75,C75),0)</f>
        <v>0</v>
      </c>
      <c r="H75" s="7"/>
    </row>
    <row r="76" spans="1:8" s="13" customFormat="1" ht="14.5" x14ac:dyDescent="0.25">
      <c r="A76" s="11">
        <f t="shared" si="1"/>
        <v>75</v>
      </c>
      <c r="B76" s="9"/>
      <c r="C76" s="10"/>
      <c r="D76" s="8"/>
      <c r="E76" s="11">
        <f>IF(C76&lt;&gt;"",C76&amp;" - "&amp;COUNTIF(C$2:C76,C76),0)</f>
        <v>0</v>
      </c>
      <c r="H76" s="7"/>
    </row>
    <row r="77" spans="1:8" s="13" customFormat="1" ht="14.5" x14ac:dyDescent="0.25">
      <c r="A77" s="11">
        <f t="shared" si="1"/>
        <v>76</v>
      </c>
      <c r="B77" s="9"/>
      <c r="C77" s="10"/>
      <c r="D77" s="8"/>
      <c r="E77" s="11">
        <f>IF(C77&lt;&gt;"",C77&amp;" - "&amp;COUNTIF(C$2:C77,C77),0)</f>
        <v>0</v>
      </c>
      <c r="H77" s="7"/>
    </row>
    <row r="78" spans="1:8" s="13" customFormat="1" ht="14.5" x14ac:dyDescent="0.25">
      <c r="A78" s="11">
        <f t="shared" si="1"/>
        <v>77</v>
      </c>
      <c r="B78" s="9"/>
      <c r="C78" s="10"/>
      <c r="D78" s="8"/>
      <c r="E78" s="11">
        <f>IF(C78&lt;&gt;"",C78&amp;" - "&amp;COUNTIF(C$2:C78,C78),0)</f>
        <v>0</v>
      </c>
      <c r="H78" s="7"/>
    </row>
    <row r="79" spans="1:8" s="13" customFormat="1" ht="14.5" x14ac:dyDescent="0.25">
      <c r="A79" s="11">
        <f t="shared" si="1"/>
        <v>78</v>
      </c>
      <c r="B79" s="9"/>
      <c r="C79" s="10"/>
      <c r="D79" s="8"/>
      <c r="E79" s="11">
        <f>IF(C79&lt;&gt;"",C79&amp;" - "&amp;COUNTIF(C$2:C79,C79),0)</f>
        <v>0</v>
      </c>
      <c r="H79" s="7"/>
    </row>
    <row r="80" spans="1:8" s="13" customFormat="1" ht="14.5" x14ac:dyDescent="0.25">
      <c r="A80" s="11">
        <f t="shared" si="1"/>
        <v>79</v>
      </c>
      <c r="B80" s="9"/>
      <c r="C80" s="10"/>
      <c r="D80" s="8"/>
      <c r="E80" s="11">
        <f>IF(C80&lt;&gt;"",C80&amp;" - "&amp;COUNTIF(C$2:C80,C80),0)</f>
        <v>0</v>
      </c>
      <c r="H80" s="7"/>
    </row>
    <row r="81" spans="1:8" s="13" customFormat="1" ht="14.5" x14ac:dyDescent="0.25">
      <c r="A81" s="11">
        <f t="shared" si="1"/>
        <v>80</v>
      </c>
      <c r="B81" s="9"/>
      <c r="C81" s="10"/>
      <c r="D81" s="8"/>
      <c r="E81" s="11">
        <f>IF(C81&lt;&gt;"",C81&amp;" - "&amp;COUNTIF(C$2:C81,C81),0)</f>
        <v>0</v>
      </c>
      <c r="H81" s="7"/>
    </row>
    <row r="82" spans="1:8" s="13" customFormat="1" ht="14.5" x14ac:dyDescent="0.25">
      <c r="A82" s="11">
        <f t="shared" si="1"/>
        <v>81</v>
      </c>
      <c r="B82" s="9"/>
      <c r="C82" s="10"/>
      <c r="D82" s="8"/>
      <c r="E82" s="11">
        <f>IF(C82&lt;&gt;"",C82&amp;" - "&amp;COUNTIF(C$2:C82,C82),0)</f>
        <v>0</v>
      </c>
      <c r="H82" s="7"/>
    </row>
    <row r="83" spans="1:8" s="13" customFormat="1" ht="14.5" x14ac:dyDescent="0.25">
      <c r="A83" s="11">
        <f t="shared" si="1"/>
        <v>82</v>
      </c>
      <c r="B83" s="9"/>
      <c r="C83" s="10"/>
      <c r="D83" s="8"/>
      <c r="E83" s="11">
        <f>IF(C83&lt;&gt;"",C83&amp;" - "&amp;COUNTIF(C$2:C83,C83),0)</f>
        <v>0</v>
      </c>
      <c r="H83" s="7"/>
    </row>
    <row r="84" spans="1:8" s="13" customFormat="1" ht="14.5" x14ac:dyDescent="0.25">
      <c r="A84" s="11">
        <f t="shared" si="1"/>
        <v>83</v>
      </c>
      <c r="B84" s="9"/>
      <c r="C84" s="10"/>
      <c r="D84" s="8"/>
      <c r="E84" s="11">
        <f>IF(C84&lt;&gt;"",C84&amp;" - "&amp;COUNTIF(C$2:C84,C84),0)</f>
        <v>0</v>
      </c>
      <c r="H84" s="7"/>
    </row>
    <row r="85" spans="1:8" s="13" customFormat="1" ht="14.5" x14ac:dyDescent="0.25">
      <c r="A85" s="11">
        <f t="shared" si="1"/>
        <v>84</v>
      </c>
      <c r="B85" s="9"/>
      <c r="C85" s="10"/>
      <c r="D85" s="8"/>
      <c r="E85" s="11">
        <f>IF(C85&lt;&gt;"",C85&amp;" - "&amp;COUNTIF(C$2:C85,C85),0)</f>
        <v>0</v>
      </c>
      <c r="H85" s="7"/>
    </row>
    <row r="86" spans="1:8" s="13" customFormat="1" ht="14.5" x14ac:dyDescent="0.25">
      <c r="A86" s="11">
        <f t="shared" si="1"/>
        <v>85</v>
      </c>
      <c r="B86" s="9"/>
      <c r="C86" s="10"/>
      <c r="D86" s="8"/>
      <c r="E86" s="11">
        <f>IF(C86&lt;&gt;"",C86&amp;" - "&amp;COUNTIF(C$2:C86,C86),0)</f>
        <v>0</v>
      </c>
      <c r="H86" s="7"/>
    </row>
    <row r="87" spans="1:8" s="13" customFormat="1" ht="14.5" x14ac:dyDescent="0.25">
      <c r="A87" s="11">
        <f t="shared" si="1"/>
        <v>86</v>
      </c>
      <c r="B87" s="9"/>
      <c r="C87" s="10"/>
      <c r="D87" s="8"/>
      <c r="E87" s="11">
        <f>IF(C87&lt;&gt;"",C87&amp;" - "&amp;COUNTIF(C$2:C87,C87),0)</f>
        <v>0</v>
      </c>
      <c r="H87" s="7"/>
    </row>
    <row r="88" spans="1:8" s="13" customFormat="1" ht="14.5" x14ac:dyDescent="0.25">
      <c r="A88" s="11">
        <f t="shared" si="1"/>
        <v>87</v>
      </c>
      <c r="B88" s="9"/>
      <c r="C88" s="10"/>
      <c r="D88" s="8"/>
      <c r="E88" s="11">
        <f>IF(C88&lt;&gt;"",C88&amp;" - "&amp;COUNTIF(C$2:C88,C88),0)</f>
        <v>0</v>
      </c>
      <c r="H88" s="7"/>
    </row>
    <row r="89" spans="1:8" s="13" customFormat="1" ht="14.5" x14ac:dyDescent="0.25">
      <c r="A89" s="11">
        <f t="shared" si="1"/>
        <v>88</v>
      </c>
      <c r="B89" s="9"/>
      <c r="C89" s="10"/>
      <c r="D89" s="8"/>
      <c r="E89" s="11">
        <f>IF(C89&lt;&gt;"",C89&amp;" - "&amp;COUNTIF(C$2:C89,C89),0)</f>
        <v>0</v>
      </c>
      <c r="H89" s="7"/>
    </row>
    <row r="90" spans="1:8" s="13" customFormat="1" ht="14.5" x14ac:dyDescent="0.25">
      <c r="A90" s="11">
        <f t="shared" si="1"/>
        <v>89</v>
      </c>
      <c r="B90" s="9"/>
      <c r="C90" s="10"/>
      <c r="D90" s="8"/>
      <c r="E90" s="11">
        <f>IF(C90&lt;&gt;"",C90&amp;" - "&amp;COUNTIF(C$2:C90,C90),0)</f>
        <v>0</v>
      </c>
      <c r="H90" s="7"/>
    </row>
    <row r="91" spans="1:8" s="13" customFormat="1" ht="14.5" x14ac:dyDescent="0.25">
      <c r="A91" s="11">
        <f t="shared" si="1"/>
        <v>90</v>
      </c>
      <c r="B91" s="9"/>
      <c r="C91" s="10"/>
      <c r="D91" s="8"/>
      <c r="E91" s="11">
        <f>IF(C91&lt;&gt;"",C91&amp;" - "&amp;COUNTIF(C$2:C91,C91),0)</f>
        <v>0</v>
      </c>
      <c r="H91" s="7"/>
    </row>
    <row r="92" spans="1:8" s="13" customFormat="1" ht="14.5" x14ac:dyDescent="0.25">
      <c r="A92" s="11">
        <f t="shared" si="1"/>
        <v>91</v>
      </c>
      <c r="B92" s="9"/>
      <c r="C92" s="10"/>
      <c r="D92" s="8"/>
      <c r="E92" s="11">
        <f>IF(C92&lt;&gt;"",C92&amp;" - "&amp;COUNTIF(C$2:C92,C92),0)</f>
        <v>0</v>
      </c>
      <c r="H92" s="7"/>
    </row>
    <row r="93" spans="1:8" s="13" customFormat="1" ht="14.5" x14ac:dyDescent="0.25">
      <c r="A93" s="11">
        <f t="shared" si="1"/>
        <v>92</v>
      </c>
      <c r="B93" s="9"/>
      <c r="C93" s="10"/>
      <c r="D93" s="8"/>
      <c r="E93" s="11">
        <f>IF(C93&lt;&gt;"",C93&amp;" - "&amp;COUNTIF(C$2:C93,C93),0)</f>
        <v>0</v>
      </c>
      <c r="H93" s="7"/>
    </row>
    <row r="94" spans="1:8" s="13" customFormat="1" ht="14.5" x14ac:dyDescent="0.25">
      <c r="A94" s="11">
        <f t="shared" si="1"/>
        <v>93</v>
      </c>
      <c r="B94" s="9"/>
      <c r="C94" s="10"/>
      <c r="D94" s="8"/>
      <c r="E94" s="11">
        <f>IF(C94&lt;&gt;"",C94&amp;" - "&amp;COUNTIF(C$2:C94,C94),0)</f>
        <v>0</v>
      </c>
      <c r="H94" s="7"/>
    </row>
    <row r="95" spans="1:8" s="13" customFormat="1" ht="14.5" x14ac:dyDescent="0.25">
      <c r="A95" s="11">
        <f t="shared" si="1"/>
        <v>94</v>
      </c>
      <c r="B95" s="9"/>
      <c r="C95" s="10"/>
      <c r="D95" s="8"/>
      <c r="E95" s="11">
        <f>IF(C95&lt;&gt;"",C95&amp;" - "&amp;COUNTIF(C$2:C95,C95),0)</f>
        <v>0</v>
      </c>
      <c r="H95" s="7"/>
    </row>
    <row r="96" spans="1:8" s="13" customFormat="1" ht="14.5" x14ac:dyDescent="0.25">
      <c r="A96" s="11">
        <f t="shared" si="1"/>
        <v>95</v>
      </c>
      <c r="B96" s="9"/>
      <c r="C96" s="10"/>
      <c r="D96" s="8"/>
      <c r="E96" s="11">
        <f>IF(C96&lt;&gt;"",C96&amp;" - "&amp;COUNTIF(C$2:C96,C96),0)</f>
        <v>0</v>
      </c>
      <c r="H96" s="7"/>
    </row>
    <row r="97" spans="1:8" s="13" customFormat="1" ht="14.5" x14ac:dyDescent="0.25">
      <c r="A97" s="11">
        <f t="shared" si="1"/>
        <v>96</v>
      </c>
      <c r="B97" s="9"/>
      <c r="C97" s="10"/>
      <c r="D97" s="8"/>
      <c r="E97" s="11">
        <f>IF(C97&lt;&gt;"",C97&amp;" - "&amp;COUNTIF(C$2:C97,C97),0)</f>
        <v>0</v>
      </c>
      <c r="H97" s="7"/>
    </row>
    <row r="98" spans="1:8" s="13" customFormat="1" ht="14.5" x14ac:dyDescent="0.25">
      <c r="A98" s="11">
        <f t="shared" si="1"/>
        <v>97</v>
      </c>
      <c r="B98" s="9"/>
      <c r="C98" s="10"/>
      <c r="D98" s="8"/>
      <c r="E98" s="11">
        <f>IF(C98&lt;&gt;"",C98&amp;" - "&amp;COUNTIF(C$2:C98,C98),0)</f>
        <v>0</v>
      </c>
      <c r="H98" s="7"/>
    </row>
    <row r="99" spans="1:8" s="13" customFormat="1" ht="14.5" x14ac:dyDescent="0.25">
      <c r="A99" s="11">
        <f t="shared" si="1"/>
        <v>98</v>
      </c>
      <c r="B99" s="9"/>
      <c r="C99" s="10"/>
      <c r="D99" s="8"/>
      <c r="E99" s="11">
        <f>IF(C99&lt;&gt;"",C99&amp;" - "&amp;COUNTIF(C$2:C99,C99),0)</f>
        <v>0</v>
      </c>
      <c r="H99" s="7"/>
    </row>
    <row r="100" spans="1:8" s="13" customFormat="1" ht="14.5" x14ac:dyDescent="0.25">
      <c r="A100" s="11">
        <f t="shared" si="1"/>
        <v>99</v>
      </c>
      <c r="B100" s="9"/>
      <c r="C100" s="10"/>
      <c r="D100" s="8"/>
      <c r="E100" s="11">
        <f>IF(C100&lt;&gt;"",C100&amp;" - "&amp;COUNTIF(C$2:C100,C100),0)</f>
        <v>0</v>
      </c>
      <c r="H100" s="7"/>
    </row>
    <row r="101" spans="1:8" s="13" customFormat="1" ht="14.5" x14ac:dyDescent="0.25">
      <c r="A101" s="11">
        <f t="shared" si="1"/>
        <v>100</v>
      </c>
      <c r="B101" s="9"/>
      <c r="C101" s="10"/>
      <c r="D101" s="8"/>
      <c r="E101" s="11">
        <f>IF(C101&lt;&gt;"",C101&amp;" - "&amp;COUNTIF(C$2:C101,C101),0)</f>
        <v>0</v>
      </c>
    </row>
  </sheetData>
  <dataConsolidate/>
  <pageMargins left="0.74803149606299213" right="0.74803149606299213" top="0.51181102362204722" bottom="0.78740157480314965" header="0.51181102362204722" footer="0.51181102362204722"/>
  <pageSetup paperSize="9" scale="55" orientation="landscape" r:id="rId1"/>
  <headerFooter alignWithMargins="0">
    <oddFooter>&amp;L
&amp;A&amp;C
&amp;P&amp;R&amp;F
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8">
    <tabColor rgb="FF99CCFF"/>
    <outlinePr summaryBelow="0"/>
    <pageSetUpPr autoPageBreaks="0"/>
  </sheetPr>
  <dimension ref="A1:AT8"/>
  <sheetViews>
    <sheetView showGridLines="0" zoomScale="80" zoomScaleNormal="80" workbookViewId="0">
      <pane xSplit="4" ySplit="3" topLeftCell="E4" activePane="bottomRight" state="frozen"/>
      <selection activeCell="B2" sqref="B2"/>
      <selection pane="topRight" activeCell="B2" sqref="B2"/>
      <selection pane="bottomLeft" activeCell="B2" sqref="B2"/>
      <selection pane="bottomRight" activeCell="E3" sqref="E3:S3"/>
    </sheetView>
  </sheetViews>
  <sheetFormatPr defaultColWidth="0" defaultRowHeight="12.5" x14ac:dyDescent="0.25"/>
  <cols>
    <col min="1" max="3" width="2.54296875" style="3" customWidth="1"/>
    <col min="4" max="4" width="47.81640625" style="3" customWidth="1"/>
    <col min="5" max="5" width="4.7265625" style="3" customWidth="1"/>
    <col min="6" max="46" width="0" style="3" hidden="1" customWidth="1"/>
    <col min="47" max="16384" width="8.7265625" style="3" hidden="1"/>
  </cols>
  <sheetData>
    <row r="1" spans="1:2" s="4" customFormat="1" ht="25" customHeight="1" thickBot="1" x14ac:dyDescent="0.3">
      <c r="A1" s="4" t="s">
        <v>2</v>
      </c>
    </row>
    <row r="2" spans="1:2" ht="14.5" x14ac:dyDescent="0.25">
      <c r="B2" s="6" t="e">
        <f>MasterCheck</f>
        <v>#NAME?</v>
      </c>
    </row>
    <row r="3" spans="1:2" ht="20.149999999999999" customHeight="1" x14ac:dyDescent="0.25"/>
    <row r="5" spans="1:2" s="2" customFormat="1" ht="21.5" thickBot="1" x14ac:dyDescent="0.3">
      <c r="A5" s="3"/>
      <c r="B5" s="2" t="s">
        <v>1</v>
      </c>
    </row>
    <row r="7" spans="1:2" ht="13" thickBot="1" x14ac:dyDescent="0.3"/>
    <row r="8" spans="1:2" s="5" customFormat="1" ht="13" thickBot="1" x14ac:dyDescent="0.3">
      <c r="B8" s="5" t="s">
        <v>0</v>
      </c>
    </row>
  </sheetData>
  <conditionalFormatting sqref="B2">
    <cfRule type="expression" dxfId="0" priority="1">
      <formula>RIGHT($B$2,2)&lt;&gt;"ok"</formula>
    </cfRule>
  </conditionalFormatting>
  <pageMargins left="0.74803149606299213" right="0.74803149606299213" top="0.51181102362204722" bottom="0.78740157480314965" header="0.51181102362204722" footer="0.51181102362204722"/>
  <pageSetup paperSize="9" scale="55" orientation="landscape" r:id="rId1"/>
  <headerFooter alignWithMargins="0">
    <oddFooter>&amp;L
&amp;A&amp;C
&amp;P&amp;R&amp;F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rgb="FFFFFFCC"/>
    <outlinePr summaryBelow="0"/>
    <pageSetUpPr autoPageBreaks="0"/>
  </sheetPr>
  <dimension ref="A1:O17"/>
  <sheetViews>
    <sheetView showGridLines="0" topLeftCell="A4" zoomScale="80" zoomScaleNormal="80" workbookViewId="0">
      <selection activeCell="E6" sqref="E6"/>
    </sheetView>
  </sheetViews>
  <sheetFormatPr defaultColWidth="9.1796875" defaultRowHeight="12.5" x14ac:dyDescent="0.25"/>
  <cols>
    <col min="1" max="1" width="10.7265625" style="13" customWidth="1"/>
    <col min="2" max="2" width="25.7265625" style="13" customWidth="1"/>
    <col min="3" max="3" width="10.7265625" style="13" customWidth="1"/>
    <col min="4" max="4" width="2.7265625" style="14" customWidth="1"/>
    <col min="5" max="5" width="10.7265625" style="13" customWidth="1"/>
    <col min="6" max="6" width="8.7265625" style="13" customWidth="1"/>
    <col min="7" max="7" width="2.7265625" style="14" customWidth="1"/>
    <col min="8" max="8" width="12.7265625" style="13" customWidth="1"/>
    <col min="9" max="9" width="9.1796875" style="13" customWidth="1"/>
    <col min="10" max="10" width="2.7265625" style="14" customWidth="1"/>
    <col min="11" max="11" width="13.26953125" style="13" customWidth="1"/>
    <col min="12" max="12" width="9.1796875" style="13" customWidth="1"/>
    <col min="13" max="13" width="2.7265625" style="14" customWidth="1"/>
    <col min="14" max="14" width="13.26953125" style="13" customWidth="1"/>
    <col min="15" max="29" width="9.1796875" style="13" customWidth="1"/>
    <col min="30" max="16384" width="9.1796875" style="13"/>
  </cols>
  <sheetData>
    <row r="1" spans="1:15" s="14" customFormat="1" ht="13" thickBot="1" x14ac:dyDescent="0.3">
      <c r="I1" s="137"/>
    </row>
    <row r="2" spans="1:15" ht="15.5" x14ac:dyDescent="0.35">
      <c r="A2" s="23">
        <f ca="1">COUNTIF(Athletes!$C$2:$C$101,RIGHT(CELL("filename",A2),LEN(CELL("filename",A2))-FIND("]",CELL("filename",A2),1)))</f>
        <v>1</v>
      </c>
      <c r="B2" s="23" t="str">
        <f ca="1">RIGHT(CELL("filename",A2),LEN(CELL("filename",A2))-FIND("]",CELL("filename",A2),1))</f>
        <v>U9 - B</v>
      </c>
      <c r="C2" s="14"/>
      <c r="E2" s="14"/>
      <c r="F2" s="14"/>
      <c r="H2" s="176" t="s">
        <v>39</v>
      </c>
      <c r="I2" s="177"/>
      <c r="K2" s="176" t="s">
        <v>29</v>
      </c>
      <c r="L2" s="177"/>
      <c r="N2" s="176" t="s">
        <v>40</v>
      </c>
      <c r="O2" s="177"/>
    </row>
    <row r="3" spans="1:15" ht="15" thickBot="1" x14ac:dyDescent="0.3">
      <c r="A3" s="14"/>
      <c r="B3" s="14"/>
      <c r="C3" s="14"/>
      <c r="E3" s="14"/>
      <c r="F3" s="14"/>
      <c r="H3" s="138" t="s">
        <v>18</v>
      </c>
      <c r="I3" s="178" t="s">
        <v>19</v>
      </c>
      <c r="K3" s="138" t="s">
        <v>18</v>
      </c>
      <c r="L3" s="178" t="s">
        <v>19</v>
      </c>
      <c r="N3" s="138" t="s">
        <v>18</v>
      </c>
      <c r="O3" s="178" t="s">
        <v>19</v>
      </c>
    </row>
    <row r="4" spans="1:15" ht="14.5" x14ac:dyDescent="0.25">
      <c r="A4" s="19" t="s">
        <v>6</v>
      </c>
      <c r="B4" s="20" t="s">
        <v>3</v>
      </c>
      <c r="C4" s="21" t="s">
        <v>26</v>
      </c>
      <c r="E4" s="19" t="s">
        <v>27</v>
      </c>
      <c r="F4" s="21" t="s">
        <v>36</v>
      </c>
      <c r="H4" s="138" t="s">
        <v>32</v>
      </c>
      <c r="I4" s="178"/>
      <c r="K4" s="138" t="s">
        <v>35</v>
      </c>
      <c r="L4" s="178"/>
      <c r="N4" s="138" t="s">
        <v>35</v>
      </c>
      <c r="O4" s="178"/>
    </row>
    <row r="5" spans="1:15" ht="14.5" x14ac:dyDescent="0.25">
      <c r="A5" s="22">
        <v>1</v>
      </c>
      <c r="B5" s="11" t="str">
        <f ca="1">IF($A5&lt;=$A$2,INDEX(Athletes!$B$2:$B$101,MATCH($B$2&amp;" - "&amp;$A5,Athletes!$E$2:$E$101,0)),"")</f>
        <v>Louis Gibson</v>
      </c>
      <c r="C5" s="18">
        <f ca="1">IF($A5&lt;=$A$2,INDEX(Athletes!$D$2:$D$101,MATCH($B$2&amp;" - "&amp;$A5,Athletes!$E$2:$E$101,0)),"")</f>
        <v>207</v>
      </c>
      <c r="E5" s="135">
        <f ca="1">IF(B5&lt;&gt;"",I5+L5+O5,0)</f>
        <v>0</v>
      </c>
      <c r="F5" s="136">
        <f ca="1">IF(B5&lt;&gt;"",RANK(E5,$E$5:$E$14),"")</f>
        <v>1</v>
      </c>
      <c r="H5" s="17"/>
      <c r="I5" s="18">
        <f>IF(H5&lt;&gt;0,SUMIF(SCORE!$A$79:$A$88,RANK(H5,$H$5:$H$14,1),SCORE!$N$79:$N$88),0)</f>
        <v>0</v>
      </c>
      <c r="K5" s="1"/>
      <c r="L5" s="18">
        <f>IF(K5&lt;&gt;0,SUMIF(SCORE!$A$79:$A$88,RANK(K5,$K$5:$K$14,1),SCORE!$O$79:$O$88),0)</f>
        <v>0</v>
      </c>
      <c r="N5" s="1"/>
      <c r="O5" s="18">
        <f>IF(N5&lt;&gt;0,SUMIF(SCORE!$A$79:$A$88,RANK(N5,$N$5:$N$14,1),SCORE!$P$79:$P$88),0)</f>
        <v>0</v>
      </c>
    </row>
    <row r="6" spans="1:15" ht="14.5" x14ac:dyDescent="0.25">
      <c r="A6" s="157">
        <f t="shared" ref="A6:A14" si="0">A5+1</f>
        <v>2</v>
      </c>
      <c r="B6" s="158" t="str">
        <f ca="1">IF($A6&lt;=$A$2,INDEX(Athletes!$B$2:$B$101,MATCH($B$2&amp;" - "&amp;$A6,Athletes!$E$2:$E$101,0)),"")</f>
        <v/>
      </c>
      <c r="C6" s="159" t="str">
        <f ca="1">IF($A6&lt;=$A$2,INDEX(Athletes!$D$2:$D$101,MATCH($B$2&amp;" - "&amp;$A6,Athletes!$E$2:$E$101,0)),"")</f>
        <v/>
      </c>
      <c r="E6" s="135">
        <f t="shared" ref="E6:E14" ca="1" si="1">IF(B6&lt;&gt;"",I6+L6+O6,0)</f>
        <v>0</v>
      </c>
      <c r="F6" s="136" t="str">
        <f t="shared" ref="F6:F14" ca="1" si="2">IF(B6&lt;&gt;"",RANK(E6,$E$5:$E$14),"")</f>
        <v/>
      </c>
      <c r="H6" s="17"/>
      <c r="I6" s="159">
        <f>IF(H6&lt;&gt;0,SUMIF(SCORE!$A$79:$A$88,RANK(H6,$H$5:$H$14,1),SCORE!$N$79:$N$88),0)</f>
        <v>0</v>
      </c>
      <c r="K6" s="1"/>
      <c r="L6" s="159">
        <f>IF(K6&lt;&gt;0,SUMIF(SCORE!$A$79:$A$88,RANK(K6,$K$5:$K$14,1),SCORE!$O$79:$O$88),0)</f>
        <v>0</v>
      </c>
      <c r="N6" s="1"/>
      <c r="O6" s="159">
        <f>IF(N6&lt;&gt;0,SUMIF(SCORE!$A$79:$A$88,RANK(N6,$N$5:$N$14,1),SCORE!$P$79:$P$88),0)</f>
        <v>0</v>
      </c>
    </row>
    <row r="7" spans="1:15" ht="14.5" x14ac:dyDescent="0.25">
      <c r="A7" s="157">
        <f t="shared" si="0"/>
        <v>3</v>
      </c>
      <c r="B7" s="158" t="str">
        <f ca="1">IF($A7&lt;=$A$2,INDEX(Athletes!$B$2:$B$101,MATCH($B$2&amp;" - "&amp;$A7,Athletes!$E$2:$E$101,0)),"")</f>
        <v/>
      </c>
      <c r="C7" s="159" t="str">
        <f ca="1">IF($A7&lt;=$A$2,INDEX(Athletes!$D$2:$D$101,MATCH($B$2&amp;" - "&amp;$A7,Athletes!$E$2:$E$101,0)),"")</f>
        <v/>
      </c>
      <c r="E7" s="135">
        <f t="shared" ca="1" si="1"/>
        <v>0</v>
      </c>
      <c r="F7" s="136" t="str">
        <f t="shared" ca="1" si="2"/>
        <v/>
      </c>
      <c r="H7" s="17"/>
      <c r="I7" s="159">
        <f>IF(H7&lt;&gt;0,SUMIF(SCORE!$A$79:$A$88,RANK(H7,$H$5:$H$14,1),SCORE!$N$79:$N$88),0)</f>
        <v>0</v>
      </c>
      <c r="K7" s="1"/>
      <c r="L7" s="159">
        <f>IF(K7&lt;&gt;0,SUMIF(SCORE!$A$79:$A$88,RANK(K7,$K$5:$K$14,1),SCORE!$O$79:$O$88),0)</f>
        <v>0</v>
      </c>
      <c r="N7" s="1"/>
      <c r="O7" s="159">
        <f>IF(N7&lt;&gt;0,SUMIF(SCORE!$A$79:$A$88,RANK(N7,$N$5:$N$14,1),SCORE!$P$79:$P$88),0)</f>
        <v>0</v>
      </c>
    </row>
    <row r="8" spans="1:15" ht="14.5" x14ac:dyDescent="0.25">
      <c r="A8" s="157">
        <f t="shared" si="0"/>
        <v>4</v>
      </c>
      <c r="B8" s="158" t="str">
        <f ca="1">IF($A8&lt;=$A$2,INDEX(Athletes!$B$2:$B$101,MATCH($B$2&amp;" - "&amp;$A8,Athletes!$E$2:$E$101,0)),"")</f>
        <v/>
      </c>
      <c r="C8" s="159" t="str">
        <f ca="1">IF($A8&lt;=$A$2,INDEX(Athletes!$D$2:$D$101,MATCH($B$2&amp;" - "&amp;$A8,Athletes!$E$2:$E$101,0)),"")</f>
        <v/>
      </c>
      <c r="E8" s="135">
        <f t="shared" ca="1" si="1"/>
        <v>0</v>
      </c>
      <c r="F8" s="136" t="str">
        <f t="shared" ca="1" si="2"/>
        <v/>
      </c>
      <c r="H8" s="17"/>
      <c r="I8" s="159">
        <f>IF(H8&lt;&gt;0,SUMIF(SCORE!$A$79:$A$88,RANK(H8,$H$5:$H$14,1),SCORE!$N$79:$N$88),0)</f>
        <v>0</v>
      </c>
      <c r="K8" s="1"/>
      <c r="L8" s="159">
        <f>IF(K8&lt;&gt;0,SUMIF(SCORE!$A$79:$A$88,RANK(K8,$K$5:$K$14,1),SCORE!$O$79:$O$88),0)</f>
        <v>0</v>
      </c>
      <c r="N8" s="1"/>
      <c r="O8" s="159">
        <f>IF(N8&lt;&gt;0,SUMIF(SCORE!$A$79:$A$88,RANK(N8,$N$5:$N$14,1),SCORE!$P$79:$P$88),0)</f>
        <v>0</v>
      </c>
    </row>
    <row r="9" spans="1:15" ht="14.5" x14ac:dyDescent="0.25">
      <c r="A9" s="157">
        <f t="shared" si="0"/>
        <v>5</v>
      </c>
      <c r="B9" s="158" t="str">
        <f ca="1">IF($A9&lt;=$A$2,INDEX(Athletes!$B$2:$B$101,MATCH($B$2&amp;" - "&amp;$A9,Athletes!$E$2:$E$101,0)),"")</f>
        <v/>
      </c>
      <c r="C9" s="159" t="str">
        <f ca="1">IF($A9&lt;=$A$2,INDEX(Athletes!$D$2:$D$101,MATCH($B$2&amp;" - "&amp;$A9,Athletes!$E$2:$E$101,0)),"")</f>
        <v/>
      </c>
      <c r="E9" s="135">
        <f t="shared" ca="1" si="1"/>
        <v>0</v>
      </c>
      <c r="F9" s="136" t="str">
        <f t="shared" ca="1" si="2"/>
        <v/>
      </c>
      <c r="H9" s="17"/>
      <c r="I9" s="159">
        <f>IF(H9&lt;&gt;0,SUMIF(SCORE!$A$79:$A$88,RANK(H9,$H$5:$H$14,1),SCORE!$N$79:$N$88),0)</f>
        <v>0</v>
      </c>
      <c r="K9" s="1"/>
      <c r="L9" s="159">
        <f>IF(K9&lt;&gt;0,SUMIF(SCORE!$A$79:$A$88,RANK(K9,$K$5:$K$14,1),SCORE!$O$79:$O$88),0)</f>
        <v>0</v>
      </c>
      <c r="N9" s="1"/>
      <c r="O9" s="159">
        <f>IF(N9&lt;&gt;0,SUMIF(SCORE!$A$79:$A$88,RANK(N9,$N$5:$N$14,1),SCORE!$P$79:$P$88),0)</f>
        <v>0</v>
      </c>
    </row>
    <row r="10" spans="1:15" ht="14.5" x14ac:dyDescent="0.25">
      <c r="A10" s="157">
        <f t="shared" si="0"/>
        <v>6</v>
      </c>
      <c r="B10" s="158" t="str">
        <f ca="1">IF($A10&lt;=$A$2,INDEX(Athletes!$B$2:$B$101,MATCH($B$2&amp;" - "&amp;$A10,Athletes!$E$2:$E$101,0)),"")</f>
        <v/>
      </c>
      <c r="C10" s="159" t="str">
        <f ca="1">IF($A10&lt;=$A$2,INDEX(Athletes!$D$2:$D$101,MATCH($B$2&amp;" - "&amp;$A10,Athletes!$E$2:$E$101,0)),"")</f>
        <v/>
      </c>
      <c r="E10" s="135">
        <f t="shared" ca="1" si="1"/>
        <v>0</v>
      </c>
      <c r="F10" s="136" t="str">
        <f t="shared" ca="1" si="2"/>
        <v/>
      </c>
      <c r="H10" s="17"/>
      <c r="I10" s="159">
        <f>IF(H10&lt;&gt;0,SUMIF(SCORE!$A$79:$A$88,RANK(H10,$H$5:$H$14,1),SCORE!$N$79:$N$88),0)</f>
        <v>0</v>
      </c>
      <c r="K10" s="1"/>
      <c r="L10" s="159">
        <f>IF(K10&lt;&gt;0,SUMIF(SCORE!$A$79:$A$88,RANK(K10,$K$5:$K$14,1),SCORE!$O$79:$O$88),0)</f>
        <v>0</v>
      </c>
      <c r="N10" s="1"/>
      <c r="O10" s="159">
        <f>IF(N10&lt;&gt;0,SUMIF(SCORE!$A$79:$A$88,RANK(N10,$N$5:$N$14,1),SCORE!$P$79:$P$88),0)</f>
        <v>0</v>
      </c>
    </row>
    <row r="11" spans="1:15" ht="14.5" x14ac:dyDescent="0.25">
      <c r="A11" s="157">
        <f t="shared" si="0"/>
        <v>7</v>
      </c>
      <c r="B11" s="158" t="str">
        <f ca="1">IF($A11&lt;=$A$2,INDEX(Athletes!$B$2:$B$101,MATCH($B$2&amp;" - "&amp;$A11,Athletes!$E$2:$E$101,0)),"")</f>
        <v/>
      </c>
      <c r="C11" s="159" t="str">
        <f ca="1">IF($A11&lt;=$A$2,INDEX(Athletes!$D$2:$D$101,MATCH($B$2&amp;" - "&amp;$A11,Athletes!$E$2:$E$101,0)),"")</f>
        <v/>
      </c>
      <c r="E11" s="135">
        <f t="shared" ca="1" si="1"/>
        <v>0</v>
      </c>
      <c r="F11" s="136" t="str">
        <f t="shared" ca="1" si="2"/>
        <v/>
      </c>
      <c r="H11" s="17"/>
      <c r="I11" s="159">
        <f>IF(H11&lt;&gt;0,SUMIF(SCORE!$A$79:$A$88,RANK(H11,$H$5:$H$14,1),SCORE!$N$79:$N$88),0)</f>
        <v>0</v>
      </c>
      <c r="K11" s="1"/>
      <c r="L11" s="159">
        <f>IF(K11&lt;&gt;0,SUMIF(SCORE!$A$79:$A$88,RANK(K11,$K$5:$K$14,1),SCORE!$O$79:$O$88),0)</f>
        <v>0</v>
      </c>
      <c r="N11" s="1"/>
      <c r="O11" s="159">
        <f>IF(N11&lt;&gt;0,SUMIF(SCORE!$A$79:$A$88,RANK(N11,$N$5:$N$14,1),SCORE!$P$79:$P$88),0)</f>
        <v>0</v>
      </c>
    </row>
    <row r="12" spans="1:15" ht="14.5" x14ac:dyDescent="0.25">
      <c r="A12" s="157">
        <f t="shared" si="0"/>
        <v>8</v>
      </c>
      <c r="B12" s="158" t="str">
        <f ca="1">IF($A12&lt;=$A$2,INDEX(Athletes!$B$2:$B$101,MATCH($B$2&amp;" - "&amp;$A12,Athletes!$E$2:$E$101,0)),"")</f>
        <v/>
      </c>
      <c r="C12" s="159" t="str">
        <f ca="1">IF($A12&lt;=$A$2,INDEX(Athletes!$D$2:$D$101,MATCH($B$2&amp;" - "&amp;$A12,Athletes!$E$2:$E$101,0)),"")</f>
        <v/>
      </c>
      <c r="E12" s="135">
        <f t="shared" ca="1" si="1"/>
        <v>0</v>
      </c>
      <c r="F12" s="136" t="str">
        <f t="shared" ca="1" si="2"/>
        <v/>
      </c>
      <c r="H12" s="17"/>
      <c r="I12" s="159">
        <f>IF(H12&lt;&gt;0,SUMIF(SCORE!$A$79:$A$88,RANK(H12,$H$5:$H$14,1),SCORE!$N$79:$N$88),0)</f>
        <v>0</v>
      </c>
      <c r="K12" s="1"/>
      <c r="L12" s="159">
        <f>IF(K12&lt;&gt;0,SUMIF(SCORE!$A$79:$A$88,RANK(K12,$K$5:$K$14,1),SCORE!$O$79:$O$88),0)</f>
        <v>0</v>
      </c>
      <c r="N12" s="1"/>
      <c r="O12" s="159">
        <f>IF(N12&lt;&gt;0,SUMIF(SCORE!$A$79:$A$88,RANK(N12,$N$5:$N$14,1),SCORE!$P$79:$P$88),0)</f>
        <v>0</v>
      </c>
    </row>
    <row r="13" spans="1:15" ht="14.5" x14ac:dyDescent="0.25">
      <c r="A13" s="157">
        <f t="shared" si="0"/>
        <v>9</v>
      </c>
      <c r="B13" s="158" t="str">
        <f ca="1">IF($A13&lt;=$A$2,INDEX(Athletes!$B$2:$B$101,MATCH($B$2&amp;" - "&amp;$A13,Athletes!$E$2:$E$101,0)),"")</f>
        <v/>
      </c>
      <c r="C13" s="159" t="str">
        <f ca="1">IF($A13&lt;=$A$2,INDEX(Athletes!$D$2:$D$101,MATCH($B$2&amp;" - "&amp;$A13,Athletes!$E$2:$E$101,0)),"")</f>
        <v/>
      </c>
      <c r="E13" s="135">
        <f t="shared" ca="1" si="1"/>
        <v>0</v>
      </c>
      <c r="F13" s="136" t="str">
        <f t="shared" ca="1" si="2"/>
        <v/>
      </c>
      <c r="H13" s="17"/>
      <c r="I13" s="159">
        <f>IF(H13&lt;&gt;0,SUMIF(SCORE!$A$79:$A$88,RANK(H13,$H$5:$H$14,1),SCORE!$N$79:$N$88),0)</f>
        <v>0</v>
      </c>
      <c r="K13" s="1"/>
      <c r="L13" s="159">
        <f>IF(K13&lt;&gt;0,SUMIF(SCORE!$A$79:$A$88,RANK(K13,$K$5:$K$14,1),SCORE!$O$79:$O$88),0)</f>
        <v>0</v>
      </c>
      <c r="N13" s="1"/>
      <c r="O13" s="159">
        <f>IF(N13&lt;&gt;0,SUMIF(SCORE!$A$79:$A$88,RANK(N13,$N$5:$N$14,1),SCORE!$P$79:$P$88),0)</f>
        <v>0</v>
      </c>
    </row>
    <row r="14" spans="1:15" ht="15" thickBot="1" x14ac:dyDescent="0.3">
      <c r="A14" s="160">
        <f t="shared" si="0"/>
        <v>10</v>
      </c>
      <c r="B14" s="161" t="str">
        <f ca="1">IF($A14&lt;=$A$2,INDEX(Athletes!$B$2:$B$101,MATCH($B$2&amp;" - "&amp;$A14,Athletes!$E$2:$E$101,0)),"")</f>
        <v/>
      </c>
      <c r="C14" s="162" t="str">
        <f ca="1">IF($A14&lt;=$A$2,INDEX(Athletes!$D$2:$D$101,MATCH($B$2&amp;" - "&amp;$A14,Athletes!$E$2:$E$101,0)),"")</f>
        <v/>
      </c>
      <c r="E14" s="135">
        <f t="shared" ca="1" si="1"/>
        <v>0</v>
      </c>
      <c r="F14" s="136" t="str">
        <f t="shared" ca="1" si="2"/>
        <v/>
      </c>
      <c r="H14" s="17"/>
      <c r="I14" s="162">
        <f>IF(H14&lt;&gt;0,SUMIF(SCORE!$A$79:$A$88,RANK(H14,$H$5:$H$14,1),SCORE!$N$79:$N$88),0)</f>
        <v>0</v>
      </c>
      <c r="K14" s="1"/>
      <c r="L14" s="162">
        <f>IF(K14&lt;&gt;0,SUMIF(SCORE!$A$79:$A$88,RANK(K14,$K$5:$K$14,1),SCORE!$O$79:$O$88),0)</f>
        <v>0</v>
      </c>
      <c r="N14" s="1"/>
      <c r="O14" s="162">
        <f>IF(N14&lt;&gt;0,SUMIF(SCORE!$A$79:$A$88,RANK(N14,$N$5:$N$14,1),SCORE!$P$79:$P$88),0)</f>
        <v>0</v>
      </c>
    </row>
    <row r="15" spans="1:15" s="14" customFormat="1" x14ac:dyDescent="0.25"/>
    <row r="17" spans="2:12" x14ac:dyDescent="0.25">
      <c r="B17" s="170" t="s">
        <v>110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</row>
  </sheetData>
  <dataConsolidate/>
  <mergeCells count="6">
    <mergeCell ref="N2:O2"/>
    <mergeCell ref="I3:I4"/>
    <mergeCell ref="L3:L4"/>
    <mergeCell ref="O3:O4"/>
    <mergeCell ref="H2:I2"/>
    <mergeCell ref="K2:L2"/>
  </mergeCells>
  <pageMargins left="0.74803149606299213" right="0.74803149606299213" top="0.51181102362204722" bottom="0.78740157480314965" header="0.51181102362204722" footer="0.51181102362204722"/>
  <pageSetup paperSize="9" scale="55" orientation="landscape" r:id="rId1"/>
  <headerFooter alignWithMargins="0">
    <oddFooter>&amp;L
&amp;A&amp;C
&amp;P&amp;R&amp;F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rgb="FFFFFFCC"/>
    <outlinePr summaryBelow="0"/>
    <pageSetUpPr autoPageBreaks="0"/>
  </sheetPr>
  <dimension ref="A1:X27"/>
  <sheetViews>
    <sheetView showGridLines="0" zoomScale="80" zoomScaleNormal="80" workbookViewId="0">
      <selection activeCell="W12" sqref="W12"/>
    </sheetView>
  </sheetViews>
  <sheetFormatPr defaultColWidth="9.1796875" defaultRowHeight="12.5" x14ac:dyDescent="0.25"/>
  <cols>
    <col min="1" max="1" width="10.7265625" customWidth="1"/>
    <col min="2" max="2" width="25.7265625" customWidth="1"/>
    <col min="3" max="3" width="10.7265625" customWidth="1"/>
    <col min="4" max="4" width="2.7265625" customWidth="1"/>
    <col min="5" max="5" width="10.7265625" customWidth="1"/>
    <col min="6" max="6" width="8.7265625" customWidth="1"/>
    <col min="7" max="7" width="2.7265625" customWidth="1"/>
    <col min="8" max="8" width="12.7265625" customWidth="1"/>
    <col min="9" max="9" width="12.7265625" style="13" hidden="1" customWidth="1"/>
    <col min="10" max="10" width="9.1796875" customWidth="1"/>
    <col min="11" max="11" width="2.7265625" style="14" customWidth="1"/>
    <col min="12" max="12" width="12.7265625" customWidth="1"/>
    <col min="13" max="13" width="9.1796875" customWidth="1"/>
    <col min="14" max="14" width="2.7265625" style="14" customWidth="1"/>
    <col min="15" max="15" width="8.7265625" customWidth="1"/>
    <col min="16" max="16" width="10.7265625" customWidth="1"/>
    <col min="17" max="17" width="10.7265625" style="13" customWidth="1"/>
    <col min="18" max="18" width="9.1796875" customWidth="1"/>
    <col min="19" max="19" width="2.7265625" style="14" customWidth="1"/>
    <col min="20" max="20" width="13.26953125" customWidth="1"/>
    <col min="21" max="21" width="9.1796875" customWidth="1"/>
    <col min="22" max="22" width="2.7265625" style="14" customWidth="1"/>
    <col min="23" max="23" width="13.26953125" customWidth="1"/>
    <col min="24" max="24" width="9.1796875" customWidth="1"/>
  </cols>
  <sheetData>
    <row r="1" spans="1:24" ht="13" thickBot="1" x14ac:dyDescent="0.3">
      <c r="A1" s="14"/>
      <c r="B1" s="14"/>
      <c r="C1" s="14"/>
      <c r="D1" s="14"/>
      <c r="E1" s="14"/>
      <c r="F1" s="14"/>
      <c r="G1" s="14"/>
      <c r="H1" s="14"/>
      <c r="I1" s="14"/>
      <c r="J1" s="137"/>
      <c r="L1" s="14"/>
      <c r="M1" s="14"/>
      <c r="O1" s="14"/>
      <c r="P1" s="14"/>
      <c r="Q1" s="14"/>
      <c r="R1" s="14"/>
      <c r="T1" s="14"/>
      <c r="U1" s="14"/>
      <c r="W1" s="14"/>
      <c r="X1" s="14"/>
    </row>
    <row r="2" spans="1:24" ht="15.5" x14ac:dyDescent="0.35">
      <c r="A2" s="23">
        <f ca="1">COUNTIF(Athletes!$C$2:$C$101,RIGHT(CELL("filename",A2),LEN(CELL("filename",A2))-FIND("]",CELL("filename",A2),1)))</f>
        <v>11</v>
      </c>
      <c r="B2" s="23" t="str">
        <f ca="1">RIGHT(CELL("filename",A2),LEN(CELL("filename",A2))-FIND("]",CELL("filename",A2),1))</f>
        <v>U11 - B</v>
      </c>
      <c r="C2" s="14"/>
      <c r="D2" s="14"/>
      <c r="E2" s="14"/>
      <c r="F2" s="14"/>
      <c r="G2" s="14"/>
      <c r="H2" s="176" t="s">
        <v>28</v>
      </c>
      <c r="I2" s="181"/>
      <c r="J2" s="177"/>
      <c r="L2" s="176" t="s">
        <v>30</v>
      </c>
      <c r="M2" s="177"/>
      <c r="O2" s="176" t="s">
        <v>31</v>
      </c>
      <c r="P2" s="182"/>
      <c r="Q2" s="183"/>
      <c r="R2" s="177"/>
      <c r="T2" s="176" t="s">
        <v>22</v>
      </c>
      <c r="U2" s="177"/>
      <c r="W2" s="176" t="s">
        <v>34</v>
      </c>
      <c r="X2" s="177"/>
    </row>
    <row r="3" spans="1:24" ht="15" customHeight="1" thickBot="1" x14ac:dyDescent="0.3">
      <c r="A3" s="14"/>
      <c r="B3" s="14"/>
      <c r="C3" s="14"/>
      <c r="D3" s="14"/>
      <c r="E3" s="14"/>
      <c r="F3" s="14"/>
      <c r="G3" s="14"/>
      <c r="H3" s="16" t="s">
        <v>18</v>
      </c>
      <c r="I3" s="151"/>
      <c r="J3" s="178" t="s">
        <v>19</v>
      </c>
      <c r="L3" s="15" t="s">
        <v>18</v>
      </c>
      <c r="M3" s="179" t="s">
        <v>19</v>
      </c>
      <c r="O3" s="184" t="s">
        <v>18</v>
      </c>
      <c r="P3" s="185"/>
      <c r="Q3" s="152"/>
      <c r="R3" s="179" t="s">
        <v>19</v>
      </c>
      <c r="T3" s="15" t="s">
        <v>18</v>
      </c>
      <c r="U3" s="179" t="s">
        <v>19</v>
      </c>
      <c r="W3" s="15" t="s">
        <v>18</v>
      </c>
      <c r="X3" s="179" t="s">
        <v>19</v>
      </c>
    </row>
    <row r="4" spans="1:24" ht="20.149999999999999" customHeight="1" x14ac:dyDescent="0.25">
      <c r="A4" s="19" t="s">
        <v>6</v>
      </c>
      <c r="B4" s="20" t="s">
        <v>3</v>
      </c>
      <c r="C4" s="21" t="s">
        <v>26</v>
      </c>
      <c r="D4" s="14"/>
      <c r="E4" s="19" t="s">
        <v>27</v>
      </c>
      <c r="F4" s="21" t="s">
        <v>36</v>
      </c>
      <c r="G4" s="14"/>
      <c r="H4" s="16" t="s">
        <v>32</v>
      </c>
      <c r="I4" s="151"/>
      <c r="J4" s="178"/>
      <c r="L4" s="16" t="s">
        <v>32</v>
      </c>
      <c r="M4" s="180"/>
      <c r="O4" s="16" t="s">
        <v>33</v>
      </c>
      <c r="P4" s="12" t="s">
        <v>32</v>
      </c>
      <c r="Q4" s="153"/>
      <c r="R4" s="180"/>
      <c r="T4" s="16" t="s">
        <v>35</v>
      </c>
      <c r="U4" s="180"/>
      <c r="W4" s="16" t="s">
        <v>35</v>
      </c>
      <c r="X4" s="180"/>
    </row>
    <row r="5" spans="1:24" ht="14.5" x14ac:dyDescent="0.25">
      <c r="A5" s="22">
        <v>1</v>
      </c>
      <c r="B5" s="11" t="str">
        <f ca="1">IF($A5&lt;=$A$2,INDEX(Athletes!$B$2:$B$101,MATCH($B$2&amp;" - "&amp;$A5,Athletes!$E$2:$E$101,0)),"")</f>
        <v>Luca Stewart</v>
      </c>
      <c r="C5" s="18">
        <f ca="1">IF($A5&lt;=$A$2,INDEX(Athletes!$D$2:$D$101,MATCH($B$2&amp;" - "&amp;$A5,Athletes!$E$2:$E$101,0)),"")</f>
        <v>208</v>
      </c>
      <c r="D5" s="14"/>
      <c r="E5" s="135">
        <f t="shared" ref="E5:E14" ca="1" si="0">IF(B5&lt;&gt;"",J5+M5+R5+U5+X5,0)</f>
        <v>447</v>
      </c>
      <c r="F5" s="136">
        <f t="shared" ref="F5:F15" ca="1" si="1">IF(B5&lt;&gt;"",RANK(E5,$E$5:$E$24),"")</f>
        <v>6</v>
      </c>
      <c r="G5" s="14"/>
      <c r="H5" s="172">
        <v>14.2</v>
      </c>
      <c r="I5" s="154">
        <f>H5*90/80</f>
        <v>15.975</v>
      </c>
      <c r="J5" s="18">
        <f>ROUND(MAX(IF(I5&gt;0,IF(I5&gt;SCORE!$J$6,300-((I5-SCORE!$J$6)*SCORE!$L$6+(SCORE!$Q$6*4)),IF(I5&gt;SCORE!$I$6,(SCORE!$F$6*POWER((SCORE!$G$6-I5),SCORE!$H$6)-(SCORE!$Q$6*10)),(SCORE!$B$6*POWER((SCORE!$C$6-I5),SCORE!$D$6))-SCORE!$Q$6*10)),0),0),0)</f>
        <v>139</v>
      </c>
      <c r="L5" s="172">
        <v>36.700000000000003</v>
      </c>
      <c r="M5" s="18">
        <f>ROUND(MAX(IF(L5&gt;0,IF(L5&gt;SCORE!$J$7,300-((L5-SCORE!$J$7)*SCORE!$L$7+(SCORE!$Q$7*4)),IF(L5&gt;SCORE!$I$7,(SCORE!$F$7*POWER((SCORE!$G$7-L5),SCORE!$H$7)-(SCORE!$Q$7*10)),(SCORE!$B$7*POWER((SCORE!$C$7-L5),SCORE!$D$7))-SCORE!$Q$7*10)),0),0),0)</f>
        <v>83</v>
      </c>
      <c r="O5" s="24">
        <v>2</v>
      </c>
      <c r="P5" s="173">
        <v>25</v>
      </c>
      <c r="Q5" s="155">
        <f>(O5*60+P5)*850/600</f>
        <v>205.41666666666666</v>
      </c>
      <c r="R5" s="18">
        <f>ROUND(MAX(IF(Q5&gt;0,IF(Q5&gt;SCORE!$J$10,300-((Q5-SCORE!$J$10)*SCORE!$L$10),IF(Q5&gt;SCORE!$I$10,SCORE!$F$10*POWER((SCORE!$G$10-Q5),SCORE!$H$10),SCORE!$B$10*POWER((SCORE!$C$10-Q5),SCORE!$D$10)))-(SCORE!$Q$10*6),0),0),0)</f>
        <v>36</v>
      </c>
      <c r="T5" s="1">
        <v>2.15</v>
      </c>
      <c r="U5" s="18">
        <f>ROUND(MAX(IF((T5*100)&gt;0,IF((T5*100)&lt;SCORE!$J$25,300+(((T5*100)-SCORE!$J$25)*SCORE!$L$25),IF((T5*100)&lt;SCORE!$I$25,SCORE!$F$25*POWER(((T5*100)-SCORE!$G$25),SCORE!$H$25),SCORE!$B$25*POWER(((T5*100)-SCORE!$C$25),SCORE!$D$25)))-(SCORE!$Q$25*6),0),0),0)</f>
        <v>51</v>
      </c>
      <c r="W5" s="1">
        <v>4.71</v>
      </c>
      <c r="X5" s="18">
        <f>ROUND(MAX(IF(W5&gt;0,IF(W5&lt;SCORE!$J$64,300+((W5-SCORE!$J$64)*SCORE!$L$64),SCORE!$B$64*POWER((W5-SCORE!$C$64),SCORE!$D$64)),0),0)*1.5,0)</f>
        <v>138</v>
      </c>
    </row>
    <row r="6" spans="1:24" ht="15" customHeight="1" x14ac:dyDescent="0.25">
      <c r="A6" s="22">
        <f>A5+1</f>
        <v>2</v>
      </c>
      <c r="B6" s="11" t="str">
        <f ca="1">IF(A6&lt;=$A$2,INDEX(Athletes!$B$2:$B$101,MATCH($B$2&amp;" - "&amp;A6,Athletes!$E$2:$E$101,0)),"")</f>
        <v>Ricco Begnor</v>
      </c>
      <c r="C6" s="18">
        <f ca="1">IF($A6&lt;=$A$2,INDEX(Athletes!$D$2:$D$101,MATCH($B$2&amp;" - "&amp;$A6,Athletes!$E$2:$E$101,0)),"")</f>
        <v>209</v>
      </c>
      <c r="D6" s="14"/>
      <c r="E6" s="135">
        <f t="shared" ca="1" si="0"/>
        <v>730</v>
      </c>
      <c r="F6" s="136">
        <f t="shared" ca="1" si="1"/>
        <v>2</v>
      </c>
      <c r="G6" s="14"/>
      <c r="H6" s="172">
        <v>12.8</v>
      </c>
      <c r="I6" s="154">
        <f t="shared" ref="I6:I24" si="2">H6*90/80</f>
        <v>14.4</v>
      </c>
      <c r="J6" s="18">
        <f>ROUND(MAX(IF(I6&gt;0,IF(I6&gt;SCORE!$J$6,300-((I6-SCORE!$J$6)*SCORE!$L$6+(SCORE!$Q$6*4)),IF(I6&gt;SCORE!$I$6,(SCORE!$F$6*POWER((SCORE!$G$6-I6),SCORE!$H$6)-(SCORE!$Q$6*10)),(SCORE!$B$6*POWER((SCORE!$C$6-I6),SCORE!$D$6))-SCORE!$Q$6*10)),0),0),0)</f>
        <v>211</v>
      </c>
      <c r="L6" s="172">
        <v>33</v>
      </c>
      <c r="M6" s="18">
        <f>ROUND(MAX(IF(L6&gt;0,IF(L6&gt;SCORE!$J$7,300-((L6-SCORE!$J$7)*SCORE!$L$7+(SCORE!$Q$7*4)),IF(L6&gt;SCORE!$I$7,(SCORE!$F$7*POWER((SCORE!$G$7-L6),SCORE!$H$7)-(SCORE!$Q$7*10)),(SCORE!$B$7*POWER((SCORE!$C$7-L6),SCORE!$D$7))-SCORE!$Q$7*10)),0),0),0)</f>
        <v>154</v>
      </c>
      <c r="O6" s="24">
        <v>2</v>
      </c>
      <c r="P6" s="173">
        <v>19.68</v>
      </c>
      <c r="Q6" s="155">
        <f t="shared" ref="Q6:Q24" si="3">(O6*60+P6)*850/600</f>
        <v>197.88</v>
      </c>
      <c r="R6" s="18">
        <f>ROUND(MAX(IF(Q6&gt;0,IF(Q6&gt;SCORE!$J$10,300-((Q6-SCORE!$J$10)*SCORE!$L$10),IF(Q6&gt;SCORE!$I$10,SCORE!$F$10*POWER((SCORE!$G$10-Q6),SCORE!$H$10),SCORE!$B$10*POWER((SCORE!$C$10-Q6),SCORE!$D$10)))-(SCORE!$Q$10*6),0),0),0)</f>
        <v>65</v>
      </c>
      <c r="T6" s="1">
        <v>3.1</v>
      </c>
      <c r="U6" s="18">
        <f>ROUND(MAX(IF((T6*100)&gt;0,IF((T6*100)&lt;SCORE!$J$25,300+(((T6*100)-SCORE!$J$25)*SCORE!$L$25),IF((T6*100)&lt;SCORE!$I$25,SCORE!$F$25*POWER(((T6*100)-SCORE!$G$25),SCORE!$H$25),SCORE!$B$25*POWER(((T6*100)-SCORE!$C$25),SCORE!$D$25)))-(SCORE!$Q$25*6),0),0),0)</f>
        <v>133</v>
      </c>
      <c r="W6" s="1">
        <v>5.28</v>
      </c>
      <c r="X6" s="18">
        <f>ROUND(MAX(IF(W6&gt;0,IF(W6&lt;SCORE!$J$64,300+((W6-SCORE!$J$64)*SCORE!$L$64),SCORE!$B$64*POWER((W6-SCORE!$C$64),SCORE!$D$64)),0),0)*1.5,0)</f>
        <v>167</v>
      </c>
    </row>
    <row r="7" spans="1:24" ht="14.5" x14ac:dyDescent="0.25">
      <c r="A7" s="22">
        <f t="shared" ref="A7:A24" si="4">A6+1</f>
        <v>3</v>
      </c>
      <c r="B7" s="11" t="str">
        <f ca="1">IF(A7&lt;=$A$2,INDEX(Athletes!$B$2:$B$101,MATCH($B$2&amp;" - "&amp;A7,Athletes!$E$2:$E$101,0)),"")</f>
        <v>Matthew Copland</v>
      </c>
      <c r="C7" s="18">
        <f ca="1">IF($A7&lt;=$A$2,INDEX(Athletes!$D$2:$D$101,MATCH($B$2&amp;" - "&amp;$A7,Athletes!$E$2:$E$101,0)),"")</f>
        <v>210</v>
      </c>
      <c r="D7" s="14"/>
      <c r="E7" s="135">
        <f t="shared" ca="1" si="0"/>
        <v>629</v>
      </c>
      <c r="F7" s="136">
        <f t="shared" ca="1" si="1"/>
        <v>4</v>
      </c>
      <c r="G7" s="14"/>
      <c r="H7" s="172">
        <v>13.7</v>
      </c>
      <c r="I7" s="154">
        <f t="shared" si="2"/>
        <v>15.4125</v>
      </c>
      <c r="J7" s="18">
        <f>ROUND(MAX(IF(I7&gt;0,IF(I7&gt;SCORE!$J$6,300-((I7-SCORE!$J$6)*SCORE!$L$6+(SCORE!$Q$6*4)),IF(I7&gt;SCORE!$I$6,(SCORE!$F$6*POWER((SCORE!$G$6-I7),SCORE!$H$6)-(SCORE!$Q$6*10)),(SCORE!$B$6*POWER((SCORE!$C$6-I7),SCORE!$D$6))-SCORE!$Q$6*10)),0),0),0)</f>
        <v>164</v>
      </c>
      <c r="L7" s="172">
        <v>36.4</v>
      </c>
      <c r="M7" s="18">
        <f>ROUND(MAX(IF(L7&gt;0,IF(L7&gt;SCORE!$J$7,300-((L7-SCORE!$J$7)*SCORE!$L$7+(SCORE!$Q$7*4)),IF(L7&gt;SCORE!$I$7,(SCORE!$F$7*POWER((SCORE!$G$7-L7),SCORE!$H$7)-(SCORE!$Q$7*10)),(SCORE!$B$7*POWER((SCORE!$C$7-L7),SCORE!$D$7))-SCORE!$Q$7*10)),0),0),0)</f>
        <v>88</v>
      </c>
      <c r="O7" s="24">
        <v>2</v>
      </c>
      <c r="P7" s="173">
        <v>7.8</v>
      </c>
      <c r="Q7" s="155">
        <f t="shared" si="3"/>
        <v>181.05</v>
      </c>
      <c r="R7" s="18">
        <f>ROUND(MAX(IF(Q7&gt;0,IF(Q7&gt;SCORE!$J$10,300-((Q7-SCORE!$J$10)*SCORE!$L$10),IF(Q7&gt;SCORE!$I$10,SCORE!$F$10*POWER((SCORE!$G$10-Q7),SCORE!$H$10),SCORE!$B$10*POWER((SCORE!$C$10-Q7),SCORE!$D$10)))-(SCORE!$Q$10*6),0),0),0)</f>
        <v>129</v>
      </c>
      <c r="T7" s="1">
        <v>3.33</v>
      </c>
      <c r="U7" s="18">
        <f>ROUND(MAX(IF((T7*100)&gt;0,IF((T7*100)&lt;SCORE!$J$25,300+(((T7*100)-SCORE!$J$25)*SCORE!$L$25),IF((T7*100)&lt;SCORE!$I$25,SCORE!$F$25*POWER(((T7*100)-SCORE!$G$25),SCORE!$H$25),SCORE!$B$25*POWER(((T7*100)-SCORE!$C$25),SCORE!$D$25)))-(SCORE!$Q$25*6),0),0),0)</f>
        <v>153</v>
      </c>
      <c r="W7" s="1">
        <v>3.87</v>
      </c>
      <c r="X7" s="18">
        <f>ROUND(MAX(IF(W7&gt;0,IF(W7&lt;SCORE!$J$64,300+((W7-SCORE!$J$64)*SCORE!$L$64),SCORE!$B$64*POWER((W7-SCORE!$C$64),SCORE!$D$64)),0),0)*1.5,0)</f>
        <v>95</v>
      </c>
    </row>
    <row r="8" spans="1:24" ht="14.5" x14ac:dyDescent="0.25">
      <c r="A8" s="22">
        <f t="shared" si="4"/>
        <v>4</v>
      </c>
      <c r="B8" s="11" t="str">
        <f ca="1">IF(A8&lt;=$A$2,INDEX(Athletes!$B$2:$B$101,MATCH($B$2&amp;" - "&amp;A8,Athletes!$E$2:$E$101,0)),"")</f>
        <v>Matthew Cox</v>
      </c>
      <c r="C8" s="18">
        <f ca="1">IF($A8&lt;=$A$2,INDEX(Athletes!$D$2:$D$101,MATCH($B$2&amp;" - "&amp;$A8,Athletes!$E$2:$E$101,0)),"")</f>
        <v>211</v>
      </c>
      <c r="D8" s="14"/>
      <c r="E8" s="135">
        <f t="shared" ca="1" si="0"/>
        <v>694</v>
      </c>
      <c r="F8" s="136">
        <f t="shared" ca="1" si="1"/>
        <v>3</v>
      </c>
      <c r="G8" s="14"/>
      <c r="H8" s="172">
        <v>13.2</v>
      </c>
      <c r="I8" s="154">
        <f t="shared" si="2"/>
        <v>14.85</v>
      </c>
      <c r="J8" s="18">
        <f>ROUND(MAX(IF(I8&gt;0,IF(I8&gt;SCORE!$J$6,300-((I8-SCORE!$J$6)*SCORE!$L$6+(SCORE!$Q$6*4)),IF(I8&gt;SCORE!$I$6,(SCORE!$F$6*POWER((SCORE!$G$6-I8),SCORE!$H$6)-(SCORE!$Q$6*10)),(SCORE!$B$6*POWER((SCORE!$C$6-I8),SCORE!$D$6))-SCORE!$Q$6*10)),0),0),0)</f>
        <v>190</v>
      </c>
      <c r="L8" s="172">
        <v>34.1</v>
      </c>
      <c r="M8" s="18">
        <f>ROUND(MAX(IF(L8&gt;0,IF(L8&gt;SCORE!$J$7,300-((L8-SCORE!$J$7)*SCORE!$L$7+(SCORE!$Q$7*4)),IF(L8&gt;SCORE!$I$7,(SCORE!$F$7*POWER((SCORE!$G$7-L8),SCORE!$H$7)-(SCORE!$Q$7*10)),(SCORE!$B$7*POWER((SCORE!$C$7-L8),SCORE!$D$7))-SCORE!$Q$7*10)),0),0),0)</f>
        <v>133</v>
      </c>
      <c r="O8" s="24">
        <v>2</v>
      </c>
      <c r="P8" s="173">
        <v>13.81</v>
      </c>
      <c r="Q8" s="155">
        <f t="shared" si="3"/>
        <v>189.56416666666667</v>
      </c>
      <c r="R8" s="18">
        <f>ROUND(MAX(IF(Q8&gt;0,IF(Q8&gt;SCORE!$J$10,300-((Q8-SCORE!$J$10)*SCORE!$L$10),IF(Q8&gt;SCORE!$I$10,SCORE!$F$10*POWER((SCORE!$G$10-Q8),SCORE!$H$10),SCORE!$B$10*POWER((SCORE!$C$10-Q8),SCORE!$D$10)))-(SCORE!$Q$10*6),0),0),0)</f>
        <v>97</v>
      </c>
      <c r="T8" s="1">
        <v>3.4</v>
      </c>
      <c r="U8" s="18">
        <f>ROUND(MAX(IF((T8*100)&gt;0,IF((T8*100)&lt;SCORE!$J$25,300+(((T8*100)-SCORE!$J$25)*SCORE!$L$25),IF((T8*100)&lt;SCORE!$I$25,SCORE!$F$25*POWER(((T8*100)-SCORE!$G$25),SCORE!$H$25),SCORE!$B$25*POWER(((T8*100)-SCORE!$C$25),SCORE!$D$25)))-(SCORE!$Q$25*6),0),0),0)</f>
        <v>159</v>
      </c>
      <c r="W8" s="1">
        <v>4.2699999999999996</v>
      </c>
      <c r="X8" s="18">
        <f>ROUND(MAX(IF(W8&gt;0,IF(W8&lt;SCORE!$J$64,300+((W8-SCORE!$J$64)*SCORE!$L$64),SCORE!$B$64*POWER((W8-SCORE!$C$64),SCORE!$D$64)),0),0)*1.5,0)</f>
        <v>115</v>
      </c>
    </row>
    <row r="9" spans="1:24" ht="14.5" x14ac:dyDescent="0.25">
      <c r="A9" s="22">
        <f t="shared" si="4"/>
        <v>5</v>
      </c>
      <c r="B9" s="11" t="str">
        <f ca="1">IF(A9&lt;=$A$2,INDEX(Athletes!$B$2:$B$101,MATCH($B$2&amp;" - "&amp;A9,Athletes!$E$2:$E$101,0)),"")</f>
        <v>Lucan Marshall-Watt</v>
      </c>
      <c r="C9" s="18">
        <f ca="1">IF($A9&lt;=$A$2,INDEX(Athletes!$D$2:$D$101,MATCH($B$2&amp;" - "&amp;$A9,Athletes!$E$2:$E$101,0)),"")</f>
        <v>212</v>
      </c>
      <c r="D9" s="14"/>
      <c r="E9" s="135">
        <f t="shared" ca="1" si="0"/>
        <v>425</v>
      </c>
      <c r="F9" s="136">
        <f t="shared" ca="1" si="1"/>
        <v>7</v>
      </c>
      <c r="G9" s="14"/>
      <c r="H9" s="172">
        <v>14.9</v>
      </c>
      <c r="I9" s="154">
        <f t="shared" si="2"/>
        <v>16.762499999999999</v>
      </c>
      <c r="J9" s="18">
        <f>ROUND(MAX(IF(I9&gt;0,IF(I9&gt;SCORE!$J$6,300-((I9-SCORE!$J$6)*SCORE!$L$6+(SCORE!$Q$6*4)),IF(I9&gt;SCORE!$I$6,(SCORE!$F$6*POWER((SCORE!$G$6-I9),SCORE!$H$6)-(SCORE!$Q$6*10)),(SCORE!$B$6*POWER((SCORE!$C$6-I9),SCORE!$D$6))-SCORE!$Q$6*10)),0),0),0)</f>
        <v>102</v>
      </c>
      <c r="L9" s="172">
        <v>37.6</v>
      </c>
      <c r="M9" s="18">
        <f>ROUND(MAX(IF(L9&gt;0,IF(L9&gt;SCORE!$J$7,300-((L9-SCORE!$J$7)*SCORE!$L$7+(SCORE!$Q$7*4)),IF(L9&gt;SCORE!$I$7,(SCORE!$F$7*POWER((SCORE!$G$7-L9),SCORE!$H$7)-(SCORE!$Q$7*10)),(SCORE!$B$7*POWER((SCORE!$C$7-L9),SCORE!$D$7))-SCORE!$Q$7*10)),0),0),0)</f>
        <v>65</v>
      </c>
      <c r="O9" s="24">
        <v>2</v>
      </c>
      <c r="P9" s="173">
        <v>19.97</v>
      </c>
      <c r="Q9" s="155">
        <f t="shared" si="3"/>
        <v>198.29083333333332</v>
      </c>
      <c r="R9" s="18">
        <f>ROUND(MAX(IF(Q9&gt;0,IF(Q9&gt;SCORE!$J$10,300-((Q9-SCORE!$J$10)*SCORE!$L$10),IF(Q9&gt;SCORE!$I$10,SCORE!$F$10*POWER((SCORE!$G$10-Q9),SCORE!$H$10),SCORE!$B$10*POWER((SCORE!$C$10-Q9),SCORE!$D$10)))-(SCORE!$Q$10*6),0),0),0)</f>
        <v>63</v>
      </c>
      <c r="T9" s="1">
        <v>2.73</v>
      </c>
      <c r="U9" s="18">
        <f>ROUND(MAX(IF((T9*100)&gt;0,IF((T9*100)&lt;SCORE!$J$25,300+(((T9*100)-SCORE!$J$25)*SCORE!$L$25),IF((T9*100)&lt;SCORE!$I$25,SCORE!$F$25*POWER(((T9*100)-SCORE!$G$25),SCORE!$H$25),SCORE!$B$25*POWER(((T9*100)-SCORE!$C$25),SCORE!$D$25)))-(SCORE!$Q$25*6),0),0),0)</f>
        <v>101</v>
      </c>
      <c r="W9" s="1">
        <v>3.84</v>
      </c>
      <c r="X9" s="18">
        <f>ROUND(MAX(IF(W9&gt;0,IF(W9&lt;SCORE!$J$64,300+((W9-SCORE!$J$64)*SCORE!$L$64),SCORE!$B$64*POWER((W9-SCORE!$C$64),SCORE!$D$64)),0),0)*1.5,0)</f>
        <v>94</v>
      </c>
    </row>
    <row r="10" spans="1:24" ht="14.5" x14ac:dyDescent="0.25">
      <c r="A10" s="22">
        <f t="shared" si="4"/>
        <v>6</v>
      </c>
      <c r="B10" s="11" t="str">
        <f ca="1">IF(A10&lt;=$A$2,INDEX(Athletes!$B$2:$B$101,MATCH($B$2&amp;" - "&amp;A10,Athletes!$E$2:$E$101,0)),"")</f>
        <v>Ethan Howie</v>
      </c>
      <c r="C10" s="18">
        <f ca="1">IF($A10&lt;=$A$2,INDEX(Athletes!$D$2:$D$101,MATCH($B$2&amp;" - "&amp;$A10,Athletes!$E$2:$E$101,0)),"")</f>
        <v>241</v>
      </c>
      <c r="D10" s="14"/>
      <c r="E10" s="135">
        <f t="shared" ca="1" si="0"/>
        <v>197</v>
      </c>
      <c r="F10" s="136">
        <f t="shared" ca="1" si="1"/>
        <v>9</v>
      </c>
      <c r="G10" s="14"/>
      <c r="H10" s="172">
        <v>15.2</v>
      </c>
      <c r="I10" s="154">
        <f t="shared" si="2"/>
        <v>17.100000000000001</v>
      </c>
      <c r="J10" s="18">
        <f>ROUND(MAX(IF(I10&gt;0,IF(I10&gt;SCORE!$J$6,300-((I10-SCORE!$J$6)*SCORE!$L$6+(SCORE!$Q$6*4)),IF(I10&gt;SCORE!$I$6,(SCORE!$F$6*POWER((SCORE!$G$6-I10),SCORE!$H$6)-(SCORE!$Q$6*10)),(SCORE!$B$6*POWER((SCORE!$C$6-I10),SCORE!$D$6))-SCORE!$Q$6*10)),0),0),0)</f>
        <v>87</v>
      </c>
      <c r="L10" s="172">
        <v>38.299999999999997</v>
      </c>
      <c r="M10" s="18">
        <f>ROUND(MAX(IF(L10&gt;0,IF(L10&gt;SCORE!$J$7,300-((L10-SCORE!$J$7)*SCORE!$L$7+(SCORE!$Q$7*4)),IF(L10&gt;SCORE!$I$7,(SCORE!$F$7*POWER((SCORE!$G$7-L10),SCORE!$H$7)-(SCORE!$Q$7*10)),(SCORE!$B$7*POWER((SCORE!$C$7-L10),SCORE!$D$7))-SCORE!$Q$7*10)),0),0),0)</f>
        <v>52</v>
      </c>
      <c r="O10" s="24"/>
      <c r="P10" s="173"/>
      <c r="Q10" s="155">
        <f t="shared" si="3"/>
        <v>0</v>
      </c>
      <c r="R10" s="18">
        <f>ROUND(MAX(IF(Q10&gt;0,IF(Q10&gt;SCORE!$J$10,300-((Q10-SCORE!$J$10)*SCORE!$L$10),IF(Q10&gt;SCORE!$I$10,SCORE!$F$10*POWER((SCORE!$G$10-Q10),SCORE!$H$10),SCORE!$B$10*POWER((SCORE!$C$10-Q10),SCORE!$D$10)))-(SCORE!$Q$10*6),0),0),0)</f>
        <v>0</v>
      </c>
      <c r="T10" s="1">
        <v>2.23</v>
      </c>
      <c r="U10" s="18">
        <f>ROUND(MAX(IF((T10*100)&gt;0,IF((T10*100)&lt;SCORE!$J$25,300+(((T10*100)-SCORE!$J$25)*SCORE!$L$25),IF((T10*100)&lt;SCORE!$I$25,SCORE!$F$25*POWER(((T10*100)-SCORE!$G$25),SCORE!$H$25),SCORE!$B$25*POWER(((T10*100)-SCORE!$C$25),SCORE!$D$25)))-(SCORE!$Q$25*6),0),0),0)</f>
        <v>58</v>
      </c>
      <c r="W10" s="1"/>
      <c r="X10" s="18">
        <f>ROUND(MAX(IF(W10&gt;0,IF(W10&lt;SCORE!$J$64,300+((W10-SCORE!$J$64)*SCORE!$L$64),SCORE!$B$64*POWER((W10-SCORE!$C$64),SCORE!$D$64)),0),0)*1.5,0)</f>
        <v>0</v>
      </c>
    </row>
    <row r="11" spans="1:24" ht="14.5" x14ac:dyDescent="0.25">
      <c r="A11" s="22">
        <f t="shared" si="4"/>
        <v>7</v>
      </c>
      <c r="B11" s="11" t="str">
        <f ca="1">IF(A11&lt;=$A$2,INDEX(Athletes!$B$2:$B$101,MATCH($B$2&amp;" - "&amp;A11,Athletes!$E$2:$E$101,0)),"")</f>
        <v>Fraser Quate</v>
      </c>
      <c r="C11" s="18">
        <f ca="1">IF($A11&lt;=$A$2,INDEX(Athletes!$D$2:$D$101,MATCH($B$2&amp;" - "&amp;$A11,Athletes!$E$2:$E$101,0)),"")</f>
        <v>214</v>
      </c>
      <c r="D11" s="14"/>
      <c r="E11" s="135">
        <f t="shared" ca="1" si="0"/>
        <v>0</v>
      </c>
      <c r="F11" s="136">
        <f t="shared" ca="1" si="1"/>
        <v>10</v>
      </c>
      <c r="G11" s="14"/>
      <c r="H11" s="172"/>
      <c r="I11" s="154">
        <f t="shared" si="2"/>
        <v>0</v>
      </c>
      <c r="J11" s="18">
        <f>ROUND(MAX(IF(I11&gt;0,IF(I11&gt;SCORE!$J$6,300-((I11-SCORE!$J$6)*SCORE!$L$6+(SCORE!$Q$6*4)),IF(I11&gt;SCORE!$I$6,(SCORE!$F$6*POWER((SCORE!$G$6-I11),SCORE!$H$6)-(SCORE!$Q$6*10)),(SCORE!$B$6*POWER((SCORE!$C$6-I11),SCORE!$D$6))-SCORE!$Q$6*10)),0),0),0)</f>
        <v>0</v>
      </c>
      <c r="L11" s="172"/>
      <c r="M11" s="18">
        <f>ROUND(MAX(IF(L11&gt;0,IF(L11&gt;SCORE!$J$7,300-((L11-SCORE!$J$7)*SCORE!$L$7+(SCORE!$Q$7*4)),IF(L11&gt;SCORE!$I$7,(SCORE!$F$7*POWER((SCORE!$G$7-L11),SCORE!$H$7)-(SCORE!$Q$7*10)),(SCORE!$B$7*POWER((SCORE!$C$7-L11),SCORE!$D$7))-SCORE!$Q$7*10)),0),0),0)</f>
        <v>0</v>
      </c>
      <c r="O11" s="24"/>
      <c r="P11" s="173"/>
      <c r="Q11" s="155">
        <f t="shared" si="3"/>
        <v>0</v>
      </c>
      <c r="R11" s="18">
        <f>ROUND(MAX(IF(Q11&gt;0,IF(Q11&gt;SCORE!$J$10,300-((Q11-SCORE!$J$10)*SCORE!$L$10),IF(Q11&gt;SCORE!$I$10,SCORE!$F$10*POWER((SCORE!$G$10-Q11),SCORE!$H$10),SCORE!$B$10*POWER((SCORE!$C$10-Q11),SCORE!$D$10)))-(SCORE!$Q$10*6),0),0),0)</f>
        <v>0</v>
      </c>
      <c r="T11" s="1"/>
      <c r="U11" s="18">
        <f>ROUND(MAX(IF((T11*100)&gt;0,IF((T11*100)&lt;SCORE!$J$25,300+(((T11*100)-SCORE!$J$25)*SCORE!$L$25),IF((T11*100)&lt;SCORE!$I$25,SCORE!$F$25*POWER(((T11*100)-SCORE!$G$25),SCORE!$H$25),SCORE!$B$25*POWER(((T11*100)-SCORE!$C$25),SCORE!$D$25)))-(SCORE!$Q$25*6),0),0),0)</f>
        <v>0</v>
      </c>
      <c r="W11" s="1"/>
      <c r="X11" s="18">
        <f>ROUND(MAX(IF(W11&gt;0,IF(W11&lt;SCORE!$J$64,300+((W11-SCORE!$J$64)*SCORE!$L$64),SCORE!$B$64*POWER((W11-SCORE!$C$64),SCORE!$D$64)),0),0)*1.5,0)</f>
        <v>0</v>
      </c>
    </row>
    <row r="12" spans="1:24" ht="14.5" x14ac:dyDescent="0.25">
      <c r="A12" s="22">
        <f t="shared" si="4"/>
        <v>8</v>
      </c>
      <c r="B12" s="11" t="str">
        <f ca="1">IF(A12&lt;=$A$2,INDEX(Athletes!$B$2:$B$101,MATCH($B$2&amp;" - "&amp;A12,Athletes!$E$2:$E$101,0)),"")</f>
        <v>Sebastian Ballantyne</v>
      </c>
      <c r="C12" s="18">
        <f ca="1">IF($A12&lt;=$A$2,INDEX(Athletes!$D$2:$D$101,MATCH($B$2&amp;" - "&amp;$A12,Athletes!$E$2:$E$101,0)),"")</f>
        <v>215</v>
      </c>
      <c r="D12" s="14"/>
      <c r="E12" s="135">
        <f t="shared" ca="1" si="0"/>
        <v>341</v>
      </c>
      <c r="F12" s="136">
        <f t="shared" ca="1" si="1"/>
        <v>8</v>
      </c>
      <c r="G12" s="14"/>
      <c r="H12" s="172">
        <v>14.4</v>
      </c>
      <c r="I12" s="154">
        <f t="shared" si="2"/>
        <v>16.2</v>
      </c>
      <c r="J12" s="18">
        <f>ROUND(MAX(IF(I12&gt;0,IF(I12&gt;SCORE!$J$6,300-((I12-SCORE!$J$6)*SCORE!$L$6+(SCORE!$Q$6*4)),IF(I12&gt;SCORE!$I$6,(SCORE!$F$6*POWER((SCORE!$G$6-I12),SCORE!$H$6)-(SCORE!$Q$6*10)),(SCORE!$B$6*POWER((SCORE!$C$6-I12),SCORE!$D$6))-SCORE!$Q$6*10)),0),0),0)</f>
        <v>128</v>
      </c>
      <c r="L12" s="172">
        <v>36.200000000000003</v>
      </c>
      <c r="M12" s="18">
        <f>ROUND(MAX(IF(L12&gt;0,IF(L12&gt;SCORE!$J$7,300-((L12-SCORE!$J$7)*SCORE!$L$7+(SCORE!$Q$7*4)),IF(L12&gt;SCORE!$I$7,(SCORE!$F$7*POWER((SCORE!$G$7-L12),SCORE!$H$7)-(SCORE!$Q$7*10)),(SCORE!$B$7*POWER((SCORE!$C$7-L12),SCORE!$D$7))-SCORE!$Q$7*10)),0),0),0)</f>
        <v>92</v>
      </c>
      <c r="O12" s="24">
        <v>2</v>
      </c>
      <c r="P12" s="173">
        <v>24.51</v>
      </c>
      <c r="Q12" s="155">
        <f t="shared" si="3"/>
        <v>204.72249999999997</v>
      </c>
      <c r="R12" s="18">
        <f>ROUND(MAX(IF(Q12&gt;0,IF(Q12&gt;SCORE!$J$10,300-((Q12-SCORE!$J$10)*SCORE!$L$10),IF(Q12&gt;SCORE!$I$10,SCORE!$F$10*POWER((SCORE!$G$10-Q12),SCORE!$H$10),SCORE!$B$10*POWER((SCORE!$C$10-Q12),SCORE!$D$10)))-(SCORE!$Q$10*6),0),0),0)</f>
        <v>39</v>
      </c>
      <c r="T12" s="1">
        <v>2.5099999999999998</v>
      </c>
      <c r="U12" s="18">
        <f>ROUND(MAX(IF((T12*100)&gt;0,IF((T12*100)&lt;SCORE!$J$25,300+(((T12*100)-SCORE!$J$25)*SCORE!$L$25),IF((T12*100)&lt;SCORE!$I$25,SCORE!$F$25*POWER(((T12*100)-SCORE!$G$25),SCORE!$H$25),SCORE!$B$25*POWER(((T12*100)-SCORE!$C$25),SCORE!$D$25)))-(SCORE!$Q$25*6),0),0),0)</f>
        <v>82</v>
      </c>
      <c r="W12" s="1"/>
      <c r="X12" s="18">
        <f>ROUND(MAX(IF(W12&gt;0,IF(W12&lt;SCORE!$J$64,300+((W12-SCORE!$J$64)*SCORE!$L$64),SCORE!$B$64*POWER((W12-SCORE!$C$64),SCORE!$D$64)),0),0)*1.5,0)</f>
        <v>0</v>
      </c>
    </row>
    <row r="13" spans="1:24" ht="14.5" x14ac:dyDescent="0.25">
      <c r="A13" s="22">
        <f t="shared" si="4"/>
        <v>9</v>
      </c>
      <c r="B13" s="11" t="str">
        <f ca="1">IF(A13&lt;=$A$2,INDEX(Athletes!$B$2:$B$101,MATCH($B$2&amp;" - "&amp;A13,Athletes!$E$2:$E$101,0)),"")</f>
        <v>Jacob Booth</v>
      </c>
      <c r="C13" s="18">
        <f ca="1">IF($A13&lt;=$A$2,INDEX(Athletes!$D$2:$D$101,MATCH($B$2&amp;" - "&amp;$A13,Athletes!$E$2:$E$101,0)),"")</f>
        <v>216</v>
      </c>
      <c r="D13" s="14"/>
      <c r="E13" s="135">
        <f t="shared" ca="1" si="0"/>
        <v>0</v>
      </c>
      <c r="F13" s="136">
        <f t="shared" ca="1" si="1"/>
        <v>10</v>
      </c>
      <c r="G13" s="14"/>
      <c r="H13" s="172"/>
      <c r="I13" s="154">
        <f t="shared" si="2"/>
        <v>0</v>
      </c>
      <c r="J13" s="18">
        <f>ROUND(MAX(IF(I13&gt;0,IF(I13&gt;SCORE!$J$6,300-((I13-SCORE!$J$6)*SCORE!$L$6+(SCORE!$Q$6*4)),IF(I13&gt;SCORE!$I$6,(SCORE!$F$6*POWER((SCORE!$G$6-I13),SCORE!$H$6)-(SCORE!$Q$6*10)),(SCORE!$B$6*POWER((SCORE!$C$6-I13),SCORE!$D$6))-SCORE!$Q$6*10)),0),0),0)</f>
        <v>0</v>
      </c>
      <c r="L13" s="172"/>
      <c r="M13" s="18">
        <f>ROUND(MAX(IF(L13&gt;0,IF(L13&gt;SCORE!$J$7,300-((L13-SCORE!$J$7)*SCORE!$L$7+(SCORE!$Q$7*4)),IF(L13&gt;SCORE!$I$7,(SCORE!$F$7*POWER((SCORE!$G$7-L13),SCORE!$H$7)-(SCORE!$Q$7*10)),(SCORE!$B$7*POWER((SCORE!$C$7-L13),SCORE!$D$7))-SCORE!$Q$7*10)),0),0),0)</f>
        <v>0</v>
      </c>
      <c r="O13" s="24"/>
      <c r="P13" s="173"/>
      <c r="Q13" s="155">
        <f t="shared" si="3"/>
        <v>0</v>
      </c>
      <c r="R13" s="18">
        <f>ROUND(MAX(IF(Q13&gt;0,IF(Q13&gt;SCORE!$J$10,300-((Q13-SCORE!$J$10)*SCORE!$L$10),IF(Q13&gt;SCORE!$I$10,SCORE!$F$10*POWER((SCORE!$G$10-Q13),SCORE!$H$10),SCORE!$B$10*POWER((SCORE!$C$10-Q13),SCORE!$D$10)))-(SCORE!$Q$10*6),0),0),0)</f>
        <v>0</v>
      </c>
      <c r="T13" s="1"/>
      <c r="U13" s="18">
        <f>ROUND(MAX(IF((T13*100)&gt;0,IF((T13*100)&lt;SCORE!$J$25,300+(((T13*100)-SCORE!$J$25)*SCORE!$L$25),IF((T13*100)&lt;SCORE!$I$25,SCORE!$F$25*POWER(((T13*100)-SCORE!$G$25),SCORE!$H$25),SCORE!$B$25*POWER(((T13*100)-SCORE!$C$25),SCORE!$D$25)))-(SCORE!$Q$25*6),0),0),0)</f>
        <v>0</v>
      </c>
      <c r="W13" s="1"/>
      <c r="X13" s="18">
        <f>ROUND(MAX(IF(W13&gt;0,IF(W13&lt;SCORE!$J$64,300+((W13-SCORE!$J$64)*SCORE!$L$64),SCORE!$B$64*POWER((W13-SCORE!$C$64),SCORE!$D$64)),0),0)*1.5,0)</f>
        <v>0</v>
      </c>
    </row>
    <row r="14" spans="1:24" ht="14.5" x14ac:dyDescent="0.25">
      <c r="A14" s="22">
        <f t="shared" si="4"/>
        <v>10</v>
      </c>
      <c r="B14" s="11" t="str">
        <f ca="1">IF(A14&lt;=$A$2,INDEX(Athletes!$B$2:$B$101,MATCH($B$2&amp;" - "&amp;A14,Athletes!$E$2:$E$101,0)),"")</f>
        <v>Nicholas Latto</v>
      </c>
      <c r="C14" s="18">
        <f ca="1">IF($A14&lt;=$A$2,INDEX(Athletes!$D$2:$D$101,MATCH($B$2&amp;" - "&amp;$A14,Athletes!$E$2:$E$101,0)),"")</f>
        <v>217</v>
      </c>
      <c r="D14" s="14"/>
      <c r="E14" s="135">
        <f t="shared" ca="1" si="0"/>
        <v>575</v>
      </c>
      <c r="F14" s="136">
        <f t="shared" ca="1" si="1"/>
        <v>5</v>
      </c>
      <c r="G14" s="14"/>
      <c r="H14" s="172">
        <v>13.2</v>
      </c>
      <c r="I14" s="154">
        <f t="shared" si="2"/>
        <v>14.85</v>
      </c>
      <c r="J14" s="18">
        <f>ROUND(MAX(IF(I14&gt;0,IF(I14&gt;SCORE!$J$6,300-((I14-SCORE!$J$6)*SCORE!$L$6+(SCORE!$Q$6*4)),IF(I14&gt;SCORE!$I$6,(SCORE!$F$6*POWER((SCORE!$G$6-I14),SCORE!$H$6)-(SCORE!$Q$6*10)),(SCORE!$B$6*POWER((SCORE!$C$6-I14),SCORE!$D$6))-SCORE!$Q$6*10)),0),0),0)</f>
        <v>190</v>
      </c>
      <c r="L14" s="172">
        <v>35.9</v>
      </c>
      <c r="M14" s="18">
        <f>ROUND(MAX(IF(L14&gt;0,IF(L14&gt;SCORE!$J$7,300-((L14-SCORE!$J$7)*SCORE!$L$7+(SCORE!$Q$7*4)),IF(L14&gt;SCORE!$I$7,(SCORE!$F$7*POWER((SCORE!$G$7-L14),SCORE!$H$7)-(SCORE!$Q$7*10)),(SCORE!$B$7*POWER((SCORE!$C$7-L14),SCORE!$D$7))-SCORE!$Q$7*10)),0),0),0)</f>
        <v>98</v>
      </c>
      <c r="O14" s="24">
        <v>2</v>
      </c>
      <c r="P14" s="173">
        <v>9.69</v>
      </c>
      <c r="Q14" s="155">
        <f t="shared" si="3"/>
        <v>183.72749999999999</v>
      </c>
      <c r="R14" s="18">
        <f>ROUND(MAX(IF(Q14&gt;0,IF(Q14&gt;SCORE!$J$10,300-((Q14-SCORE!$J$10)*SCORE!$L$10),IF(Q14&gt;SCORE!$I$10,SCORE!$F$10*POWER((SCORE!$G$10-Q14),SCORE!$H$10),SCORE!$B$10*POWER((SCORE!$C$10-Q14),SCORE!$D$10)))-(SCORE!$Q$10*6),0),0),0)</f>
        <v>119</v>
      </c>
      <c r="T14" s="1">
        <v>2.67</v>
      </c>
      <c r="U14" s="18">
        <f>ROUND(MAX(IF((T14*100)&gt;0,IF((T14*100)&lt;SCORE!$J$25,300+(((T14*100)-SCORE!$J$25)*SCORE!$L$25),IF((T14*100)&lt;SCORE!$I$25,SCORE!$F$25*POWER(((T14*100)-SCORE!$G$25),SCORE!$H$25),SCORE!$B$25*POWER(((T14*100)-SCORE!$C$25),SCORE!$D$25)))-(SCORE!$Q$25*6),0),0),0)</f>
        <v>96</v>
      </c>
      <c r="W14" s="1">
        <v>3.41</v>
      </c>
      <c r="X14" s="18">
        <f>ROUND(MAX(IF(W14&gt;0,IF(W14&lt;SCORE!$J$64,300+((W14-SCORE!$J$64)*SCORE!$L$64),SCORE!$B$64*POWER((W14-SCORE!$C$64),SCORE!$D$64)),0),0)*1.5,0)</f>
        <v>72</v>
      </c>
    </row>
    <row r="15" spans="1:24" ht="14.5" x14ac:dyDescent="0.25">
      <c r="A15" s="22">
        <f t="shared" si="4"/>
        <v>11</v>
      </c>
      <c r="B15" s="11" t="str">
        <f ca="1">IF(A15&lt;=$A$2,INDEX(Athletes!$B$2:$B$101,MATCH($B$2&amp;" - "&amp;A15,Athletes!$E$2:$E$101,0)),"")</f>
        <v>David Ness</v>
      </c>
      <c r="C15" s="18">
        <f ca="1">IF($A15&lt;=$A$2,INDEX(Athletes!$D$2:$D$101,MATCH($B$2&amp;" - "&amp;$A15,Athletes!$E$2:$E$101,0)),"")</f>
        <v>265</v>
      </c>
      <c r="D15" s="14"/>
      <c r="E15" s="135">
        <f t="shared" ref="E15" ca="1" si="5">IF(B15&lt;&gt;"",J15+M15+R15+U15+X15,0)</f>
        <v>795</v>
      </c>
      <c r="F15" s="136">
        <f t="shared" ca="1" si="1"/>
        <v>1</v>
      </c>
      <c r="G15" s="14"/>
      <c r="H15" s="172">
        <v>12.9</v>
      </c>
      <c r="I15" s="154">
        <f t="shared" si="2"/>
        <v>14.512499999999999</v>
      </c>
      <c r="J15" s="18">
        <f>ROUND(MAX(IF(I15&gt;0,IF(I15&gt;SCORE!$J$6,300-((I15-SCORE!$J$6)*SCORE!$L$6+(SCORE!$Q$6*4)),IF(I15&gt;SCORE!$I$6,(SCORE!$F$6*POWER((SCORE!$G$6-I15),SCORE!$H$6)-(SCORE!$Q$6*10)),(SCORE!$B$6*POWER((SCORE!$C$6-I15),SCORE!$D$6))-SCORE!$Q$6*10)),0),0),0)</f>
        <v>206</v>
      </c>
      <c r="L15" s="172">
        <v>32.4</v>
      </c>
      <c r="M15" s="18">
        <f>ROUND(MAX(IF(L15&gt;0,IF(L15&gt;SCORE!$J$7,300-((L15-SCORE!$J$7)*SCORE!$L$7+(SCORE!$Q$7*4)),IF(L15&gt;SCORE!$I$7,(SCORE!$F$7*POWER((SCORE!$G$7-L15),SCORE!$H$7)-(SCORE!$Q$7*10)),(SCORE!$B$7*POWER((SCORE!$C$7-L15),SCORE!$D$7))-SCORE!$Q$7*10)),0),0),0)</f>
        <v>165</v>
      </c>
      <c r="O15" s="24">
        <v>2</v>
      </c>
      <c r="P15" s="173">
        <v>13</v>
      </c>
      <c r="Q15" s="155">
        <f t="shared" si="3"/>
        <v>188.41666666666666</v>
      </c>
      <c r="R15" s="18">
        <f>ROUND(MAX(IF(Q15&gt;0,IF(Q15&gt;SCORE!$J$10,300-((Q15-SCORE!$J$10)*SCORE!$L$10),IF(Q15&gt;SCORE!$I$10,SCORE!$F$10*POWER((SCORE!$G$10-Q15),SCORE!$H$10),SCORE!$B$10*POWER((SCORE!$C$10-Q15),SCORE!$D$10)))-(SCORE!$Q$10*6),0),0),0)</f>
        <v>101</v>
      </c>
      <c r="T15" s="1">
        <v>3.31</v>
      </c>
      <c r="U15" s="18">
        <f>ROUND(MAX(IF((T15*100)&gt;0,IF((T15*100)&lt;SCORE!$J$25,300+(((T15*100)-SCORE!$J$25)*SCORE!$L$25),IF((T15*100)&lt;SCORE!$I$25,SCORE!$F$25*POWER(((T15*100)-SCORE!$G$25),SCORE!$H$25),SCORE!$B$25*POWER(((T15*100)-SCORE!$C$25),SCORE!$D$25)))-(SCORE!$Q$25*6),0),0),0)</f>
        <v>151</v>
      </c>
      <c r="W15" s="1">
        <v>5.38</v>
      </c>
      <c r="X15" s="18">
        <f>ROUND(MAX(IF(W15&gt;0,IF(W15&lt;SCORE!$J$64,300+((W15-SCORE!$J$64)*SCORE!$L$64),SCORE!$B$64*POWER((W15-SCORE!$C$64),SCORE!$D$64)),0),0)*1.5,0)</f>
        <v>172</v>
      </c>
    </row>
    <row r="16" spans="1:24" ht="14.5" x14ac:dyDescent="0.25">
      <c r="A16" s="140">
        <f t="shared" si="4"/>
        <v>12</v>
      </c>
      <c r="B16" s="141" t="str">
        <f ca="1">IF(A16&lt;=$A$2,INDEX(Athletes!$B$2:$B$101,MATCH($B$2&amp;" - "&amp;A16,Athletes!$E$2:$E$101,0)),"")</f>
        <v/>
      </c>
      <c r="C16" s="142" t="str">
        <f ca="1">IF($A16&lt;=$A$2,INDEX(Athletes!$D$2:$D$101,MATCH($B$2&amp;" - "&amp;$A16,Athletes!$E$2:$E$101,0)),"")</f>
        <v/>
      </c>
      <c r="D16" s="14"/>
      <c r="E16" s="143">
        <f t="shared" ref="E16:E19" ca="1" si="6">IF(B16&lt;&gt;"",J16+M16+R16+U16+X16,0)</f>
        <v>0</v>
      </c>
      <c r="F16" s="144" t="str">
        <f t="shared" ref="F16:F19" ca="1" si="7">IF(B16&lt;&gt;"",RANK(E16,$E$5:$E$24),"")</f>
        <v/>
      </c>
      <c r="G16" s="14"/>
      <c r="H16" s="145"/>
      <c r="I16" s="154">
        <f t="shared" si="2"/>
        <v>0</v>
      </c>
      <c r="J16" s="142">
        <f>ROUND(MAX(IF(I16&gt;0,IF(I16&gt;SCORE!$J$6,300-((I16-SCORE!$J$6)*SCORE!$L$6+(SCORE!$Q$6*4)),IF(I16&gt;SCORE!$I$6,(SCORE!$F$6*POWER((SCORE!$G$6-I16),SCORE!$H$6)-(SCORE!$Q$6*10)),(SCORE!$B$6*POWER((SCORE!$C$6-I16),SCORE!$D$6))-SCORE!$Q$6*10)),0),0),0)</f>
        <v>0</v>
      </c>
      <c r="L16" s="145"/>
      <c r="M16" s="142">
        <f>ROUND(MAX(IF(L16&gt;0,IF(L16&gt;SCORE!$J$7,300-((L16-SCORE!$J$7)*SCORE!$L$7+(SCORE!$Q$7*4)),IF(L16&gt;SCORE!$I$7,(SCORE!$F$7*POWER((SCORE!$G$7-L16),SCORE!$H$7)-(SCORE!$Q$7*10)),(SCORE!$B$7*POWER((SCORE!$C$7-L16),SCORE!$D$7))-SCORE!$Q$7*10)),0),0),0)</f>
        <v>0</v>
      </c>
      <c r="O16" s="147"/>
      <c r="P16" s="174"/>
      <c r="Q16" s="155">
        <f t="shared" si="3"/>
        <v>0</v>
      </c>
      <c r="R16" s="142">
        <f>ROUND(MAX(IF(Q16&gt;0,IF(Q16&gt;SCORE!$J$10,300-((Q16-SCORE!$J$10)*SCORE!$L$10),IF(Q16&gt;SCORE!$I$10,SCORE!$F$10*POWER((SCORE!$G$10-Q16),SCORE!$H$10),SCORE!$B$10*POWER((SCORE!$C$10-Q16),SCORE!$D$10)))-(SCORE!$Q$10*6),0),0),0)</f>
        <v>0</v>
      </c>
      <c r="T16" s="146"/>
      <c r="U16" s="142">
        <f>ROUND(MAX(IF((T16*100)&gt;0,IF((T16*100)&lt;SCORE!$J$25,300+(((T16*100)-SCORE!$J$25)*SCORE!$L$25),IF((T16*100)&lt;SCORE!$I$25,SCORE!$F$25*POWER(((T16*100)-SCORE!$G$25),SCORE!$H$25),SCORE!$B$25*POWER(((T16*100)-SCORE!$C$25),SCORE!$D$25)))-(SCORE!$Q$25*6),0),0),0)</f>
        <v>0</v>
      </c>
      <c r="W16" s="146"/>
      <c r="X16" s="142">
        <f>ROUND(MAX(IF(W16&gt;0,IF(W16&lt;SCORE!$J$64,300+((W16-SCORE!$J$64)*SCORE!$L$64),SCORE!$B$64*POWER((W16-SCORE!$C$64),SCORE!$D$64)),0),0)*1.5,0)</f>
        <v>0</v>
      </c>
    </row>
    <row r="17" spans="1:24" ht="14.5" x14ac:dyDescent="0.25">
      <c r="A17" s="140">
        <f t="shared" si="4"/>
        <v>13</v>
      </c>
      <c r="B17" s="141" t="str">
        <f ca="1">IF(A17&lt;=$A$2,INDEX(Athletes!$B$2:$B$101,MATCH($B$2&amp;" - "&amp;A17,Athletes!$E$2:$E$101,0)),"")</f>
        <v/>
      </c>
      <c r="C17" s="142" t="str">
        <f ca="1">IF($A17&lt;=$A$2,INDEX(Athletes!$D$2:$D$101,MATCH($B$2&amp;" - "&amp;$A17,Athletes!$E$2:$E$101,0)),"")</f>
        <v/>
      </c>
      <c r="D17" s="14"/>
      <c r="E17" s="143">
        <f t="shared" ca="1" si="6"/>
        <v>0</v>
      </c>
      <c r="F17" s="144" t="str">
        <f t="shared" ca="1" si="7"/>
        <v/>
      </c>
      <c r="G17" s="14"/>
      <c r="H17" s="145"/>
      <c r="I17" s="154">
        <f t="shared" si="2"/>
        <v>0</v>
      </c>
      <c r="J17" s="142">
        <f>ROUND(MAX(IF(I17&gt;0,IF(I17&gt;SCORE!$J$6,300-((I17-SCORE!$J$6)*SCORE!$L$6+(SCORE!$Q$6*4)),IF(I17&gt;SCORE!$I$6,(SCORE!$F$6*POWER((SCORE!$G$6-I17),SCORE!$H$6)-(SCORE!$Q$6*10)),(SCORE!$B$6*POWER((SCORE!$C$6-I17),SCORE!$D$6))-SCORE!$Q$6*10)),0),0),0)</f>
        <v>0</v>
      </c>
      <c r="L17" s="145"/>
      <c r="M17" s="142">
        <f>ROUND(MAX(IF(L17&gt;0,IF(L17&gt;SCORE!$J$7,300-((L17-SCORE!$J$7)*SCORE!$L$7+(SCORE!$Q$7*4)),IF(L17&gt;SCORE!$I$7,(SCORE!$F$7*POWER((SCORE!$G$7-L17),SCORE!$H$7)-(SCORE!$Q$7*10)),(SCORE!$B$7*POWER((SCORE!$C$7-L17),SCORE!$D$7))-SCORE!$Q$7*10)),0),0),0)</f>
        <v>0</v>
      </c>
      <c r="O17" s="147"/>
      <c r="P17" s="148"/>
      <c r="Q17" s="155">
        <f t="shared" si="3"/>
        <v>0</v>
      </c>
      <c r="R17" s="142">
        <f>ROUND(MAX(IF(Q17&gt;0,IF(Q17&gt;SCORE!$J$10,300-((Q17-SCORE!$J$10)*SCORE!$L$10),IF(Q17&gt;SCORE!$I$10,SCORE!$F$10*POWER((SCORE!$G$10-Q17),SCORE!$H$10),SCORE!$B$10*POWER((SCORE!$C$10-Q17),SCORE!$D$10)))-(SCORE!$Q$10*6),0),0),0)</f>
        <v>0</v>
      </c>
      <c r="T17" s="146"/>
      <c r="U17" s="142">
        <f>ROUND(MAX(IF((T17*100)&gt;0,IF((T17*100)&lt;SCORE!$J$25,300+(((T17*100)-SCORE!$J$25)*SCORE!$L$25),IF((T17*100)&lt;SCORE!$I$25,SCORE!$F$25*POWER(((T17*100)-SCORE!$G$25),SCORE!$H$25),SCORE!$B$25*POWER(((T17*100)-SCORE!$C$25),SCORE!$D$25)))-(SCORE!$Q$25*6),0),0),0)</f>
        <v>0</v>
      </c>
      <c r="W17" s="146"/>
      <c r="X17" s="142">
        <f>ROUND(MAX(IF(W17&gt;0,IF(W17&lt;SCORE!$J$64,300+((W17-SCORE!$J$64)*SCORE!$L$64),SCORE!$B$64*POWER((W17-SCORE!$C$64),SCORE!$D$64)),0),0)*1.5,0)</f>
        <v>0</v>
      </c>
    </row>
    <row r="18" spans="1:24" ht="14.5" x14ac:dyDescent="0.25">
      <c r="A18" s="140">
        <f t="shared" si="4"/>
        <v>14</v>
      </c>
      <c r="B18" s="141" t="str">
        <f ca="1">IF(A18&lt;=$A$2,INDEX(Athletes!$B$2:$B$101,MATCH($B$2&amp;" - "&amp;A18,Athletes!$E$2:$E$101,0)),"")</f>
        <v/>
      </c>
      <c r="C18" s="142" t="str">
        <f ca="1">IF($A18&lt;=$A$2,INDEX(Athletes!$D$2:$D$101,MATCH($B$2&amp;" - "&amp;$A18,Athletes!$E$2:$E$101,0)),"")</f>
        <v/>
      </c>
      <c r="D18" s="14"/>
      <c r="E18" s="143">
        <f t="shared" ca="1" si="6"/>
        <v>0</v>
      </c>
      <c r="F18" s="144" t="str">
        <f t="shared" ca="1" si="7"/>
        <v/>
      </c>
      <c r="G18" s="14"/>
      <c r="H18" s="145"/>
      <c r="I18" s="154">
        <f t="shared" si="2"/>
        <v>0</v>
      </c>
      <c r="J18" s="142">
        <f>ROUND(MAX(IF(I18&gt;0,IF(I18&gt;SCORE!$J$6,300-((I18-SCORE!$J$6)*SCORE!$L$6+(SCORE!$Q$6*4)),IF(I18&gt;SCORE!$I$6,(SCORE!$F$6*POWER((SCORE!$G$6-I18),SCORE!$H$6)-(SCORE!$Q$6*10)),(SCORE!$B$6*POWER((SCORE!$C$6-I18),SCORE!$D$6))-SCORE!$Q$6*10)),0),0),0)</f>
        <v>0</v>
      </c>
      <c r="L18" s="145"/>
      <c r="M18" s="142">
        <f>ROUND(MAX(IF(L18&gt;0,IF(L18&gt;SCORE!$J$7,300-((L18-SCORE!$J$7)*SCORE!$L$7+(SCORE!$Q$7*4)),IF(L18&gt;SCORE!$I$7,(SCORE!$F$7*POWER((SCORE!$G$7-L18),SCORE!$H$7)-(SCORE!$Q$7*10)),(SCORE!$B$7*POWER((SCORE!$C$7-L18),SCORE!$D$7))-SCORE!$Q$7*10)),0),0),0)</f>
        <v>0</v>
      </c>
      <c r="O18" s="147"/>
      <c r="P18" s="148"/>
      <c r="Q18" s="155">
        <f t="shared" si="3"/>
        <v>0</v>
      </c>
      <c r="R18" s="142">
        <f>ROUND(MAX(IF(Q18&gt;0,IF(Q18&gt;SCORE!$J$10,300-((Q18-SCORE!$J$10)*SCORE!$L$10),IF(Q18&gt;SCORE!$I$10,SCORE!$F$10*POWER((SCORE!$G$10-Q18),SCORE!$H$10),SCORE!$B$10*POWER((SCORE!$C$10-Q18),SCORE!$D$10)))-(SCORE!$Q$10*6),0),0),0)</f>
        <v>0</v>
      </c>
      <c r="T18" s="146"/>
      <c r="U18" s="142">
        <f>ROUND(MAX(IF((T18*100)&gt;0,IF((T18*100)&lt;SCORE!$J$25,300+(((T18*100)-SCORE!$J$25)*SCORE!$L$25),IF((T18*100)&lt;SCORE!$I$25,SCORE!$F$25*POWER(((T18*100)-SCORE!$G$25),SCORE!$H$25),SCORE!$B$25*POWER(((T18*100)-SCORE!$C$25),SCORE!$D$25)))-(SCORE!$Q$25*6),0),0),0)</f>
        <v>0</v>
      </c>
      <c r="W18" s="146"/>
      <c r="X18" s="142">
        <f>ROUND(MAX(IF(W18&gt;0,IF(W18&lt;SCORE!$J$64,300+((W18-SCORE!$J$64)*SCORE!$L$64),SCORE!$B$64*POWER((W18-SCORE!$C$64),SCORE!$D$64)),0),0)*1.5,0)</f>
        <v>0</v>
      </c>
    </row>
    <row r="19" spans="1:24" ht="14.5" x14ac:dyDescent="0.25">
      <c r="A19" s="140">
        <f t="shared" si="4"/>
        <v>15</v>
      </c>
      <c r="B19" s="141" t="str">
        <f ca="1">IF(A19&lt;=$A$2,INDEX(Athletes!$B$2:$B$101,MATCH($B$2&amp;" - "&amp;A19,Athletes!$E$2:$E$101,0)),"")</f>
        <v/>
      </c>
      <c r="C19" s="142" t="str">
        <f ca="1">IF($A19&lt;=$A$2,INDEX(Athletes!$D$2:$D$101,MATCH($B$2&amp;" - "&amp;$A19,Athletes!$E$2:$E$101,0)),"")</f>
        <v/>
      </c>
      <c r="D19" s="14"/>
      <c r="E19" s="143">
        <f t="shared" ca="1" si="6"/>
        <v>0</v>
      </c>
      <c r="F19" s="144" t="str">
        <f t="shared" ca="1" si="7"/>
        <v/>
      </c>
      <c r="G19" s="14"/>
      <c r="H19" s="145"/>
      <c r="I19" s="154">
        <f t="shared" si="2"/>
        <v>0</v>
      </c>
      <c r="J19" s="142">
        <f>ROUND(MAX(IF(I19&gt;0,IF(I19&gt;SCORE!$J$6,300-((I19-SCORE!$J$6)*SCORE!$L$6+(SCORE!$Q$6*4)),IF(I19&gt;SCORE!$I$6,(SCORE!$F$6*POWER((SCORE!$G$6-I19),SCORE!$H$6)-(SCORE!$Q$6*10)),(SCORE!$B$6*POWER((SCORE!$C$6-I19),SCORE!$D$6))-SCORE!$Q$6*10)),0),0),0)</f>
        <v>0</v>
      </c>
      <c r="L19" s="145"/>
      <c r="M19" s="142">
        <f>ROUND(MAX(IF(L19&gt;0,IF(L19&gt;SCORE!$J$7,300-((L19-SCORE!$J$7)*SCORE!$L$7+(SCORE!$Q$7*4)),IF(L19&gt;SCORE!$I$7,(SCORE!$F$7*POWER((SCORE!$G$7-L19),SCORE!$H$7)-(SCORE!$Q$7*10)),(SCORE!$B$7*POWER((SCORE!$C$7-L19),SCORE!$D$7))-SCORE!$Q$7*10)),0),0),0)</f>
        <v>0</v>
      </c>
      <c r="O19" s="147"/>
      <c r="P19" s="148"/>
      <c r="Q19" s="155">
        <f t="shared" si="3"/>
        <v>0</v>
      </c>
      <c r="R19" s="142">
        <f>ROUND(MAX(IF(Q19&gt;0,IF(Q19&gt;SCORE!$J$10,300-((Q19-SCORE!$J$10)*SCORE!$L$10),IF(Q19&gt;SCORE!$I$10,SCORE!$F$10*POWER((SCORE!$G$10-Q19),SCORE!$H$10),SCORE!$B$10*POWER((SCORE!$C$10-Q19),SCORE!$D$10)))-(SCORE!$Q$10*6),0),0),0)</f>
        <v>0</v>
      </c>
      <c r="T19" s="146"/>
      <c r="U19" s="142">
        <f>ROUND(MAX(IF((T19*100)&gt;0,IF((T19*100)&lt;SCORE!$J$25,300+(((T19*100)-SCORE!$J$25)*SCORE!$L$25),IF((T19*100)&lt;SCORE!$I$25,SCORE!$F$25*POWER(((T19*100)-SCORE!$G$25),SCORE!$H$25),SCORE!$B$25*POWER(((T19*100)-SCORE!$C$25),SCORE!$D$25)))-(SCORE!$Q$25*6),0),0),0)</f>
        <v>0</v>
      </c>
      <c r="W19" s="146"/>
      <c r="X19" s="142">
        <f>ROUND(MAX(IF(W19&gt;0,IF(W19&lt;SCORE!$J$64,300+((W19-SCORE!$J$64)*SCORE!$L$64),SCORE!$B$64*POWER((W19-SCORE!$C$64),SCORE!$D$64)),0),0)*1.5,0)</f>
        <v>0</v>
      </c>
    </row>
    <row r="20" spans="1:24" ht="14.5" x14ac:dyDescent="0.25">
      <c r="A20" s="157">
        <f t="shared" si="4"/>
        <v>16</v>
      </c>
      <c r="B20" s="158" t="str">
        <f ca="1">IF(A20&lt;=$A$2,INDEX(Athletes!$B$2:$B$101,MATCH($B$2&amp;" - "&amp;A20,Athletes!$E$2:$E$101,0)),"")</f>
        <v/>
      </c>
      <c r="C20" s="159" t="str">
        <f ca="1">IF($A20&lt;=$A$2,INDEX(Athletes!$D$2:$D$101,MATCH($B$2&amp;" - "&amp;$A20,Athletes!$E$2:$E$101,0)),"")</f>
        <v/>
      </c>
      <c r="D20" s="14"/>
      <c r="E20" s="143">
        <f t="shared" ref="E20:E24" ca="1" si="8">IF(B20&lt;&gt;"",J20+M20+R20+U20+X20,0)</f>
        <v>0</v>
      </c>
      <c r="F20" s="144" t="str">
        <f t="shared" ref="F20:F24" ca="1" si="9">IF(B20&lt;&gt;"",RANK(E20,$E$5:$E$24),"")</f>
        <v/>
      </c>
      <c r="G20" s="14"/>
      <c r="H20" s="145"/>
      <c r="I20" s="154">
        <f t="shared" si="2"/>
        <v>0</v>
      </c>
      <c r="J20" s="159">
        <f>ROUND(MAX(IF(I20&gt;0,IF(I20&gt;SCORE!$J$6,300-((I20-SCORE!$J$6)*SCORE!$L$6+(SCORE!$Q$6*4)),IF(I20&gt;SCORE!$I$6,(SCORE!$F$6*POWER((SCORE!$G$6-I20),SCORE!$H$6)-(SCORE!$Q$6*10)),(SCORE!$B$6*POWER((SCORE!$C$6-I20),SCORE!$D$6))-SCORE!$Q$6*10)),0),0),0)</f>
        <v>0</v>
      </c>
      <c r="L20" s="145"/>
      <c r="M20" s="159">
        <f>ROUND(MAX(IF(L20&gt;0,IF(L20&gt;SCORE!$J$7,300-((L20-SCORE!$J$7)*SCORE!$L$7+(SCORE!$Q$7*4)),IF(L20&gt;SCORE!$I$7,(SCORE!$F$7*POWER((SCORE!$G$7-L20),SCORE!$H$7)-(SCORE!$Q$7*10)),(SCORE!$B$7*POWER((SCORE!$C$7-L20),SCORE!$D$7))-SCORE!$Q$7*10)),0),0),0)</f>
        <v>0</v>
      </c>
      <c r="O20" s="147"/>
      <c r="P20" s="148"/>
      <c r="Q20" s="155">
        <f t="shared" si="3"/>
        <v>0</v>
      </c>
      <c r="R20" s="159">
        <f>ROUND(MAX(IF(Q20&gt;0,IF(Q20&gt;SCORE!$J$10,300-((Q20-SCORE!$J$10)*SCORE!$L$10),IF(Q20&gt;SCORE!$I$10,SCORE!$F$10*POWER((SCORE!$G$10-Q20),SCORE!$H$10),SCORE!$B$10*POWER((SCORE!$C$10-Q20),SCORE!$D$10)))-(SCORE!$Q$10*6),0),0),0)</f>
        <v>0</v>
      </c>
      <c r="T20" s="146"/>
      <c r="U20" s="159">
        <f>ROUND(MAX(IF((T20*100)&gt;0,IF((T20*100)&lt;SCORE!$J$25,300+(((T20*100)-SCORE!$J$25)*SCORE!$L$25),IF((T20*100)&lt;SCORE!$I$25,SCORE!$F$25*POWER(((T20*100)-SCORE!$G$25),SCORE!$H$25),SCORE!$B$25*POWER(((T20*100)-SCORE!$C$25),SCORE!$D$25)))-(SCORE!$Q$25*6),0),0),0)</f>
        <v>0</v>
      </c>
      <c r="W20" s="146"/>
      <c r="X20" s="159">
        <f>ROUND(MAX(IF(W20&gt;0,IF(W20&lt;SCORE!$J$64,300+((W20-SCORE!$J$64)*SCORE!$L$64),SCORE!$B$64*POWER((W20-SCORE!$C$64),SCORE!$D$64)),0),0)*1.5,0)</f>
        <v>0</v>
      </c>
    </row>
    <row r="21" spans="1:24" ht="14.5" x14ac:dyDescent="0.25">
      <c r="A21" s="157">
        <f t="shared" si="4"/>
        <v>17</v>
      </c>
      <c r="B21" s="158" t="str">
        <f ca="1">IF(A21&lt;=$A$2,INDEX(Athletes!$B$2:$B$101,MATCH($B$2&amp;" - "&amp;A21,Athletes!$E$2:$E$101,0)),"")</f>
        <v/>
      </c>
      <c r="C21" s="159" t="str">
        <f ca="1">IF($A21&lt;=$A$2,INDEX(Athletes!$D$2:$D$101,MATCH($B$2&amp;" - "&amp;$A21,Athletes!$E$2:$E$101,0)),"")</f>
        <v/>
      </c>
      <c r="D21" s="14"/>
      <c r="E21" s="143">
        <f t="shared" ca="1" si="8"/>
        <v>0</v>
      </c>
      <c r="F21" s="144" t="str">
        <f t="shared" ca="1" si="9"/>
        <v/>
      </c>
      <c r="G21" s="14"/>
      <c r="H21" s="145"/>
      <c r="I21" s="154">
        <f t="shared" si="2"/>
        <v>0</v>
      </c>
      <c r="J21" s="159">
        <f>ROUND(MAX(IF(I21&gt;0,IF(I21&gt;SCORE!$J$6,300-((I21-SCORE!$J$6)*SCORE!$L$6+(SCORE!$Q$6*4)),IF(I21&gt;SCORE!$I$6,(SCORE!$F$6*POWER((SCORE!$G$6-I21),SCORE!$H$6)-(SCORE!$Q$6*10)),(SCORE!$B$6*POWER((SCORE!$C$6-I21),SCORE!$D$6))-SCORE!$Q$6*10)),0),0),0)</f>
        <v>0</v>
      </c>
      <c r="L21" s="145"/>
      <c r="M21" s="159">
        <f>ROUND(MAX(IF(L21&gt;0,IF(L21&gt;SCORE!$J$7,300-((L21-SCORE!$J$7)*SCORE!$L$7+(SCORE!$Q$7*4)),IF(L21&gt;SCORE!$I$7,(SCORE!$F$7*POWER((SCORE!$G$7-L21),SCORE!$H$7)-(SCORE!$Q$7*10)),(SCORE!$B$7*POWER((SCORE!$C$7-L21),SCORE!$D$7))-SCORE!$Q$7*10)),0),0),0)</f>
        <v>0</v>
      </c>
      <c r="O21" s="147"/>
      <c r="P21" s="148"/>
      <c r="Q21" s="155">
        <f t="shared" si="3"/>
        <v>0</v>
      </c>
      <c r="R21" s="159">
        <f>ROUND(MAX(IF(Q21&gt;0,IF(Q21&gt;SCORE!$J$10,300-((Q21-SCORE!$J$10)*SCORE!$L$10),IF(Q21&gt;SCORE!$I$10,SCORE!$F$10*POWER((SCORE!$G$10-Q21),SCORE!$H$10),SCORE!$B$10*POWER((SCORE!$C$10-Q21),SCORE!$D$10)))-(SCORE!$Q$10*6),0),0),0)</f>
        <v>0</v>
      </c>
      <c r="T21" s="146"/>
      <c r="U21" s="159">
        <f>ROUND(MAX(IF((T21*100)&gt;0,IF((T21*100)&lt;SCORE!$J$25,300+(((T21*100)-SCORE!$J$25)*SCORE!$L$25),IF((T21*100)&lt;SCORE!$I$25,SCORE!$F$25*POWER(((T21*100)-SCORE!$G$25),SCORE!$H$25),SCORE!$B$25*POWER(((T21*100)-SCORE!$C$25),SCORE!$D$25)))-(SCORE!$Q$25*6),0),0),0)</f>
        <v>0</v>
      </c>
      <c r="W21" s="146"/>
      <c r="X21" s="159">
        <f>ROUND(MAX(IF(W21&gt;0,IF(W21&lt;SCORE!$J$64,300+((W21-SCORE!$J$64)*SCORE!$L$64),SCORE!$B$64*POWER((W21-SCORE!$C$64),SCORE!$D$64)),0),0)*1.5,0)</f>
        <v>0</v>
      </c>
    </row>
    <row r="22" spans="1:24" ht="14.5" x14ac:dyDescent="0.25">
      <c r="A22" s="157">
        <f t="shared" si="4"/>
        <v>18</v>
      </c>
      <c r="B22" s="158" t="str">
        <f ca="1">IF(A22&lt;=$A$2,INDEX(Athletes!$B$2:$B$101,MATCH($B$2&amp;" - "&amp;A22,Athletes!$E$2:$E$101,0)),"")</f>
        <v/>
      </c>
      <c r="C22" s="159" t="str">
        <f ca="1">IF($A22&lt;=$A$2,INDEX(Athletes!$D$2:$D$101,MATCH($B$2&amp;" - "&amp;$A22,Athletes!$E$2:$E$101,0)),"")</f>
        <v/>
      </c>
      <c r="D22" s="14"/>
      <c r="E22" s="143">
        <f t="shared" ca="1" si="8"/>
        <v>0</v>
      </c>
      <c r="F22" s="144" t="str">
        <f t="shared" ca="1" si="9"/>
        <v/>
      </c>
      <c r="G22" s="14"/>
      <c r="H22" s="145"/>
      <c r="I22" s="154">
        <f t="shared" si="2"/>
        <v>0</v>
      </c>
      <c r="J22" s="159">
        <f>ROUND(MAX(IF(I22&gt;0,IF(I22&gt;SCORE!$J$6,300-((I22-SCORE!$J$6)*SCORE!$L$6+(SCORE!$Q$6*4)),IF(I22&gt;SCORE!$I$6,(SCORE!$F$6*POWER((SCORE!$G$6-I22),SCORE!$H$6)-(SCORE!$Q$6*10)),(SCORE!$B$6*POWER((SCORE!$C$6-I22),SCORE!$D$6))-SCORE!$Q$6*10)),0),0),0)</f>
        <v>0</v>
      </c>
      <c r="L22" s="145"/>
      <c r="M22" s="159">
        <f>ROUND(MAX(IF(L22&gt;0,IF(L22&gt;SCORE!$J$7,300-((L22-SCORE!$J$7)*SCORE!$L$7+(SCORE!$Q$7*4)),IF(L22&gt;SCORE!$I$7,(SCORE!$F$7*POWER((SCORE!$G$7-L22),SCORE!$H$7)-(SCORE!$Q$7*10)),(SCORE!$B$7*POWER((SCORE!$C$7-L22),SCORE!$D$7))-SCORE!$Q$7*10)),0),0),0)</f>
        <v>0</v>
      </c>
      <c r="O22" s="147"/>
      <c r="P22" s="148"/>
      <c r="Q22" s="155">
        <f t="shared" si="3"/>
        <v>0</v>
      </c>
      <c r="R22" s="159">
        <f>ROUND(MAX(IF(Q22&gt;0,IF(Q22&gt;SCORE!$J$10,300-((Q22-SCORE!$J$10)*SCORE!$L$10),IF(Q22&gt;SCORE!$I$10,SCORE!$F$10*POWER((SCORE!$G$10-Q22),SCORE!$H$10),SCORE!$B$10*POWER((SCORE!$C$10-Q22),SCORE!$D$10)))-(SCORE!$Q$10*6),0),0),0)</f>
        <v>0</v>
      </c>
      <c r="T22" s="146"/>
      <c r="U22" s="159">
        <f>ROUND(MAX(IF((T22*100)&gt;0,IF((T22*100)&lt;SCORE!$J$25,300+(((T22*100)-SCORE!$J$25)*SCORE!$L$25),IF((T22*100)&lt;SCORE!$I$25,SCORE!$F$25*POWER(((T22*100)-SCORE!$G$25),SCORE!$H$25),SCORE!$B$25*POWER(((T22*100)-SCORE!$C$25),SCORE!$D$25)))-(SCORE!$Q$25*6),0),0),0)</f>
        <v>0</v>
      </c>
      <c r="W22" s="146"/>
      <c r="X22" s="159">
        <f>ROUND(MAX(IF(W22&gt;0,IF(W22&lt;SCORE!$J$64,300+((W22-SCORE!$J$64)*SCORE!$L$64),SCORE!$B$64*POWER((W22-SCORE!$C$64),SCORE!$D$64)),0),0)*1.5,0)</f>
        <v>0</v>
      </c>
    </row>
    <row r="23" spans="1:24" ht="14.5" x14ac:dyDescent="0.25">
      <c r="A23" s="157">
        <f t="shared" si="4"/>
        <v>19</v>
      </c>
      <c r="B23" s="158" t="str">
        <f ca="1">IF(A23&lt;=$A$2,INDEX(Athletes!$B$2:$B$101,MATCH($B$2&amp;" - "&amp;A23,Athletes!$E$2:$E$101,0)),"")</f>
        <v/>
      </c>
      <c r="C23" s="159" t="str">
        <f ca="1">IF($A23&lt;=$A$2,INDEX(Athletes!$D$2:$D$101,MATCH($B$2&amp;" - "&amp;$A23,Athletes!$E$2:$E$101,0)),"")</f>
        <v/>
      </c>
      <c r="D23" s="14"/>
      <c r="E23" s="143">
        <f t="shared" ca="1" si="8"/>
        <v>0</v>
      </c>
      <c r="F23" s="144" t="str">
        <f t="shared" ca="1" si="9"/>
        <v/>
      </c>
      <c r="G23" s="14"/>
      <c r="H23" s="145"/>
      <c r="I23" s="154">
        <f t="shared" si="2"/>
        <v>0</v>
      </c>
      <c r="J23" s="159">
        <f>ROUND(MAX(IF(I23&gt;0,IF(I23&gt;SCORE!$J$6,300-((I23-SCORE!$J$6)*SCORE!$L$6+(SCORE!$Q$6*4)),IF(I23&gt;SCORE!$I$6,(SCORE!$F$6*POWER((SCORE!$G$6-I23),SCORE!$H$6)-(SCORE!$Q$6*10)),(SCORE!$B$6*POWER((SCORE!$C$6-I23),SCORE!$D$6))-SCORE!$Q$6*10)),0),0),0)</f>
        <v>0</v>
      </c>
      <c r="L23" s="145"/>
      <c r="M23" s="159">
        <f>ROUND(MAX(IF(L23&gt;0,IF(L23&gt;SCORE!$J$7,300-((L23-SCORE!$J$7)*SCORE!$L$7+(SCORE!$Q$7*4)),IF(L23&gt;SCORE!$I$7,(SCORE!$F$7*POWER((SCORE!$G$7-L23),SCORE!$H$7)-(SCORE!$Q$7*10)),(SCORE!$B$7*POWER((SCORE!$C$7-L23),SCORE!$D$7))-SCORE!$Q$7*10)),0),0),0)</f>
        <v>0</v>
      </c>
      <c r="O23" s="147"/>
      <c r="P23" s="148"/>
      <c r="Q23" s="155">
        <f t="shared" si="3"/>
        <v>0</v>
      </c>
      <c r="R23" s="159">
        <f>ROUND(MAX(IF(Q23&gt;0,IF(Q23&gt;SCORE!$J$10,300-((Q23-SCORE!$J$10)*SCORE!$L$10),IF(Q23&gt;SCORE!$I$10,SCORE!$F$10*POWER((SCORE!$G$10-Q23),SCORE!$H$10),SCORE!$B$10*POWER((SCORE!$C$10-Q23),SCORE!$D$10)))-(SCORE!$Q$10*6),0),0),0)</f>
        <v>0</v>
      </c>
      <c r="T23" s="146"/>
      <c r="U23" s="159">
        <f>ROUND(MAX(IF((T23*100)&gt;0,IF((T23*100)&lt;SCORE!$J$25,300+(((T23*100)-SCORE!$J$25)*SCORE!$L$25),IF((T23*100)&lt;SCORE!$I$25,SCORE!$F$25*POWER(((T23*100)-SCORE!$G$25),SCORE!$H$25),SCORE!$B$25*POWER(((T23*100)-SCORE!$C$25),SCORE!$D$25)))-(SCORE!$Q$25*6),0),0),0)</f>
        <v>0</v>
      </c>
      <c r="W23" s="146"/>
      <c r="X23" s="159">
        <f>ROUND(MAX(IF(W23&gt;0,IF(W23&lt;SCORE!$J$64,300+((W23-SCORE!$J$64)*SCORE!$L$64),SCORE!$B$64*POWER((W23-SCORE!$C$64),SCORE!$D$64)),0),0)*1.5,0)</f>
        <v>0</v>
      </c>
    </row>
    <row r="24" spans="1:24" ht="15" thickBot="1" x14ac:dyDescent="0.3">
      <c r="A24" s="160">
        <f t="shared" si="4"/>
        <v>20</v>
      </c>
      <c r="B24" s="161" t="str">
        <f ca="1">IF(A24&lt;=$A$2,INDEX(Athletes!$B$2:$B$101,MATCH($B$2&amp;" - "&amp;A24,Athletes!$E$2:$E$101,0)),"")</f>
        <v/>
      </c>
      <c r="C24" s="162" t="str">
        <f ca="1">IF($A24&lt;=$A$2,INDEX(Athletes!$D$2:$D$101,MATCH($B$2&amp;" - "&amp;$A24,Athletes!$E$2:$E$101,0)),"")</f>
        <v/>
      </c>
      <c r="D24" s="14"/>
      <c r="E24" s="143">
        <f t="shared" ca="1" si="8"/>
        <v>0</v>
      </c>
      <c r="F24" s="144" t="str">
        <f t="shared" ca="1" si="9"/>
        <v/>
      </c>
      <c r="G24" s="14"/>
      <c r="H24" s="145"/>
      <c r="I24" s="154">
        <f t="shared" si="2"/>
        <v>0</v>
      </c>
      <c r="J24" s="162">
        <f>ROUND(MAX(IF(I24&gt;0,IF(I24&gt;SCORE!$J$6,300-((I24-SCORE!$J$6)*SCORE!$L$6+(SCORE!$Q$6*4)),IF(I24&gt;SCORE!$I$6,(SCORE!$F$6*POWER((SCORE!$G$6-I24),SCORE!$H$6)-(SCORE!$Q$6*10)),(SCORE!$B$6*POWER((SCORE!$C$6-I24),SCORE!$D$6))-SCORE!$Q$6*10)),0),0),0)</f>
        <v>0</v>
      </c>
      <c r="L24" s="145"/>
      <c r="M24" s="162">
        <f>ROUND(MAX(IF(L24&gt;0,IF(L24&gt;SCORE!$J$7,300-((L24-SCORE!$J$7)*SCORE!$L$7+(SCORE!$Q$7*4)),IF(L24&gt;SCORE!$I$7,(SCORE!$F$7*POWER((SCORE!$G$7-L24),SCORE!$H$7)-(SCORE!$Q$7*10)),(SCORE!$B$7*POWER((SCORE!$C$7-L24),SCORE!$D$7))-SCORE!$Q$7*10)),0),0),0)</f>
        <v>0</v>
      </c>
      <c r="O24" s="147"/>
      <c r="P24" s="148"/>
      <c r="Q24" s="155">
        <f t="shared" si="3"/>
        <v>0</v>
      </c>
      <c r="R24" s="162">
        <f>ROUND(MAX(IF(Q24&gt;0,IF(Q24&gt;SCORE!$J$10,300-((Q24-SCORE!$J$10)*SCORE!$L$10),IF(Q24&gt;SCORE!$I$10,SCORE!$F$10*POWER((SCORE!$G$10-Q24),SCORE!$H$10),SCORE!$B$10*POWER((SCORE!$C$10-Q24),SCORE!$D$10)))-(SCORE!$Q$10*6),0),0),0)</f>
        <v>0</v>
      </c>
      <c r="T24" s="146"/>
      <c r="U24" s="162">
        <f>ROUND(MAX(IF((T24*100)&gt;0,IF((T24*100)&lt;SCORE!$J$25,300+(((T24*100)-SCORE!$J$25)*SCORE!$L$25),IF((T24*100)&lt;SCORE!$I$25,SCORE!$F$25*POWER(((T24*100)-SCORE!$G$25),SCORE!$H$25),SCORE!$B$25*POWER(((T24*100)-SCORE!$C$25),SCORE!$D$25)))-(SCORE!$Q$25*6),0),0),0)</f>
        <v>0</v>
      </c>
      <c r="W24" s="146"/>
      <c r="X24" s="162">
        <f>ROUND(MAX(IF(W24&gt;0,IF(W24&lt;SCORE!$J$64,300+((W24-SCORE!$J$64)*SCORE!$L$64),SCORE!$B$64*POWER((W24-SCORE!$C$64),SCORE!$D$64)),0),0)*1.5,0)</f>
        <v>0</v>
      </c>
    </row>
    <row r="26" spans="1:24" x14ac:dyDescent="0.25">
      <c r="H26" s="171"/>
    </row>
    <row r="27" spans="1:24" x14ac:dyDescent="0.25">
      <c r="H27" s="171"/>
    </row>
  </sheetData>
  <dataConsolidate/>
  <mergeCells count="11">
    <mergeCell ref="W2:X2"/>
    <mergeCell ref="X3:X4"/>
    <mergeCell ref="H2:J2"/>
    <mergeCell ref="J3:J4"/>
    <mergeCell ref="L2:M2"/>
    <mergeCell ref="M3:M4"/>
    <mergeCell ref="O2:R2"/>
    <mergeCell ref="R3:R4"/>
    <mergeCell ref="O3:P3"/>
    <mergeCell ref="T2:U2"/>
    <mergeCell ref="U3:U4"/>
  </mergeCells>
  <pageMargins left="0.74803149606299213" right="0.74803149606299213" top="0.51181102362204722" bottom="0.78740157480314965" header="0.51181102362204722" footer="0.51181102362204722"/>
  <pageSetup paperSize="9" scale="55" orientation="landscape" r:id="rId1"/>
  <headerFooter alignWithMargins="0">
    <oddFooter>&amp;L
&amp;A&amp;C
&amp;P&amp;R&amp;F
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FFFFCC"/>
    <outlinePr summaryBelow="0"/>
    <pageSetUpPr autoPageBreaks="0"/>
  </sheetPr>
  <dimension ref="A1:AY23"/>
  <sheetViews>
    <sheetView showGridLines="0" tabSelected="1" zoomScale="70" zoomScaleNormal="70" workbookViewId="0">
      <selection activeCell="U16" sqref="U16"/>
    </sheetView>
  </sheetViews>
  <sheetFormatPr defaultColWidth="9.1796875" defaultRowHeight="12.5" x14ac:dyDescent="0.25"/>
  <cols>
    <col min="1" max="1" width="10.7265625" customWidth="1"/>
    <col min="2" max="2" width="25.7265625" customWidth="1"/>
    <col min="3" max="3" width="10.7265625" customWidth="1"/>
    <col min="4" max="4" width="2.7265625" style="14" customWidth="1"/>
    <col min="5" max="5" width="10.7265625" customWidth="1"/>
    <col min="6" max="6" width="8.7265625" customWidth="1"/>
    <col min="7" max="7" width="2.7265625" style="14" customWidth="1"/>
    <col min="8" max="8" width="12.7265625" customWidth="1"/>
    <col min="9" max="9" width="9.1796875" customWidth="1"/>
    <col min="10" max="10" width="2.7265625" style="14" customWidth="1"/>
    <col min="11" max="11" width="12.7265625" customWidth="1"/>
    <col min="12" max="12" width="9.1796875" customWidth="1"/>
    <col min="13" max="13" width="2.7265625" style="14" customWidth="1"/>
    <col min="14" max="14" width="8.7265625" customWidth="1"/>
    <col min="15" max="15" width="10.7265625" customWidth="1"/>
    <col min="16" max="16" width="9.1796875" customWidth="1"/>
    <col min="17" max="17" width="2.7265625" style="14" customWidth="1"/>
    <col min="18" max="18" width="13.26953125" customWidth="1"/>
    <col min="19" max="19" width="9.1796875" customWidth="1"/>
    <col min="20" max="20" width="2.7265625" style="14" customWidth="1"/>
    <col min="21" max="21" width="13.26953125" customWidth="1"/>
    <col min="22" max="22" width="9.1796875" customWidth="1"/>
    <col min="23" max="23" width="2.7265625" style="14" customWidth="1"/>
    <col min="24" max="24" width="13.26953125" customWidth="1"/>
    <col min="25" max="25" width="9.1796875" customWidth="1"/>
    <col min="26" max="26" width="2.7265625" style="14" customWidth="1"/>
    <col min="27" max="27" width="13.26953125" customWidth="1"/>
    <col min="28" max="28" width="9.1796875" customWidth="1"/>
  </cols>
  <sheetData>
    <row r="1" spans="1:51" s="14" customFormat="1" ht="13" thickBot="1" x14ac:dyDescent="0.3">
      <c r="I1" s="137"/>
    </row>
    <row r="2" spans="1:51" s="13" customFormat="1" ht="15.5" x14ac:dyDescent="0.35">
      <c r="A2" s="23">
        <f ca="1">COUNTIF(Athletes!$C$2:$C$101,RIGHT(CELL("filename",A2),LEN(CELL("filename",A2))-FIND("]",CELL("filename",A2),1)))</f>
        <v>15</v>
      </c>
      <c r="B2" s="23" t="str">
        <f ca="1">RIGHT(CELL("filename",A2),LEN(CELL("filename",A2))-FIND("]",CELL("filename",A2),1))</f>
        <v>U13 - B</v>
      </c>
      <c r="C2" s="14"/>
      <c r="D2" s="14"/>
      <c r="E2" s="14"/>
      <c r="F2" s="14"/>
      <c r="G2" s="14"/>
      <c r="H2" s="176" t="s">
        <v>105</v>
      </c>
      <c r="I2" s="177"/>
      <c r="J2" s="14"/>
      <c r="K2" s="176" t="s">
        <v>38</v>
      </c>
      <c r="L2" s="177"/>
      <c r="M2" s="14"/>
      <c r="N2" s="176" t="s">
        <v>37</v>
      </c>
      <c r="O2" s="182"/>
      <c r="P2" s="177"/>
      <c r="Q2" s="14"/>
      <c r="R2" s="176" t="s">
        <v>22</v>
      </c>
      <c r="S2" s="177"/>
      <c r="T2" s="14"/>
      <c r="U2" s="176" t="s">
        <v>21</v>
      </c>
      <c r="V2" s="177"/>
      <c r="W2" s="14"/>
      <c r="X2" s="176" t="s">
        <v>34</v>
      </c>
      <c r="Y2" s="177"/>
      <c r="Z2" s="14"/>
      <c r="AA2" s="176" t="s">
        <v>24</v>
      </c>
      <c r="AB2" s="177"/>
    </row>
    <row r="3" spans="1:51" s="13" customFormat="1" ht="15" customHeight="1" thickBot="1" x14ac:dyDescent="0.3">
      <c r="A3" s="14"/>
      <c r="B3" s="14"/>
      <c r="C3" s="14"/>
      <c r="D3" s="14"/>
      <c r="E3" s="14"/>
      <c r="F3" s="14"/>
      <c r="G3" s="14"/>
      <c r="H3" s="138" t="s">
        <v>18</v>
      </c>
      <c r="I3" s="178" t="s">
        <v>19</v>
      </c>
      <c r="J3" s="14"/>
      <c r="K3" s="138" t="s">
        <v>18</v>
      </c>
      <c r="L3" s="178" t="s">
        <v>19</v>
      </c>
      <c r="M3" s="14"/>
      <c r="N3" s="186" t="s">
        <v>18</v>
      </c>
      <c r="O3" s="187"/>
      <c r="P3" s="178" t="s">
        <v>19</v>
      </c>
      <c r="Q3" s="14"/>
      <c r="R3" s="138" t="s">
        <v>18</v>
      </c>
      <c r="S3" s="178" t="s">
        <v>19</v>
      </c>
      <c r="T3" s="14"/>
      <c r="U3" s="138" t="s">
        <v>18</v>
      </c>
      <c r="V3" s="178" t="s">
        <v>19</v>
      </c>
      <c r="W3" s="14"/>
      <c r="X3" s="138" t="s">
        <v>18</v>
      </c>
      <c r="Y3" s="178" t="s">
        <v>19</v>
      </c>
      <c r="Z3" s="14"/>
      <c r="AA3" s="138" t="s">
        <v>18</v>
      </c>
      <c r="AB3" s="178" t="s">
        <v>19</v>
      </c>
    </row>
    <row r="4" spans="1:51" s="13" customFormat="1" ht="20.149999999999999" customHeight="1" x14ac:dyDescent="0.25">
      <c r="A4" s="19" t="s">
        <v>6</v>
      </c>
      <c r="B4" s="20" t="s">
        <v>3</v>
      </c>
      <c r="C4" s="21" t="s">
        <v>26</v>
      </c>
      <c r="D4" s="14"/>
      <c r="E4" s="19" t="s">
        <v>27</v>
      </c>
      <c r="F4" s="21" t="s">
        <v>36</v>
      </c>
      <c r="G4" s="14"/>
      <c r="H4" s="138" t="s">
        <v>32</v>
      </c>
      <c r="I4" s="178"/>
      <c r="J4" s="14"/>
      <c r="K4" s="138" t="s">
        <v>32</v>
      </c>
      <c r="L4" s="178"/>
      <c r="M4" s="14"/>
      <c r="N4" s="138" t="s">
        <v>33</v>
      </c>
      <c r="O4" s="139" t="s">
        <v>32</v>
      </c>
      <c r="P4" s="178"/>
      <c r="Q4" s="14"/>
      <c r="R4" s="138" t="s">
        <v>35</v>
      </c>
      <c r="S4" s="178"/>
      <c r="T4" s="14"/>
      <c r="U4" s="138" t="s">
        <v>35</v>
      </c>
      <c r="V4" s="178"/>
      <c r="W4" s="14"/>
      <c r="X4" s="138" t="s">
        <v>35</v>
      </c>
      <c r="Y4" s="178"/>
      <c r="Z4" s="14"/>
      <c r="AA4" s="138" t="s">
        <v>35</v>
      </c>
      <c r="AB4" s="178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s="13" customFormat="1" ht="14.5" x14ac:dyDescent="0.25">
      <c r="A5" s="22">
        <v>1</v>
      </c>
      <c r="B5" s="11" t="str">
        <f ca="1">IF($A5&lt;=$A$2,INDEX(Athletes!$B$2:$B$101,MATCH($B$2&amp;" - "&amp;$A5,Athletes!$E$2:$E$101,0)),"")</f>
        <v>Alfie Murphy</v>
      </c>
      <c r="C5" s="18">
        <f ca="1">IF($A5&lt;=$A$2,INDEX(Athletes!$D$2:$D$101,MATCH($B$2&amp;" - "&amp;$A5,Athletes!$E$2:$E$101,0)),"")</f>
        <v>218</v>
      </c>
      <c r="D5" s="14"/>
      <c r="E5" s="135">
        <f t="shared" ref="E5:E19" ca="1" si="0">IF(B5&lt;&gt;"",I5+L5+P5+S5+V5+Y5+AB5,0)</f>
        <v>1312</v>
      </c>
      <c r="F5" s="136">
        <f ca="1">IF(B5&lt;&gt;"",RANK(E5,$E$5:$E$23),"")</f>
        <v>1</v>
      </c>
      <c r="G5" s="14"/>
      <c r="H5" s="172">
        <v>13.94</v>
      </c>
      <c r="I5" s="18">
        <f>ROUND(MAX(IF(H5&gt;0,IF(H5&gt;SCORE!$J$6,300-((H5-SCORE!$J$6)*SCORE!$L$6+(SCORE!$Q$6*4)),IF(H5&gt;SCORE!$I$6,(SCORE!$F$6*POWER((SCORE!$G$6-H5),SCORE!$H$6)-(SCORE!$Q$6*10)),(SCORE!$B$6*POWER((SCORE!$C$6-H5),SCORE!$D$6))-SCORE!$Q$6*10)),0),0),0)</f>
        <v>232</v>
      </c>
      <c r="J5" s="14"/>
      <c r="K5" s="172">
        <v>46.01</v>
      </c>
      <c r="L5" s="18">
        <f>ROUND(MAX(IF(K5&gt;0,IF(K5&gt;SCORE!$J$8,300-((K5-SCORE!$J$8)*SCORE!$L$8),(SCORE!$B$8*POWER((SCORE!$C$8-K5),SCORE!$D$8))),0),0),0)</f>
        <v>249</v>
      </c>
      <c r="M5" s="14"/>
      <c r="N5" s="24">
        <v>2</v>
      </c>
      <c r="O5" s="173">
        <v>42.14</v>
      </c>
      <c r="P5" s="18">
        <f>ROUND(MAX(IF(N5&gt;0,IF((N5*60+O5)&gt;SCORE!$J$10,300-(((N5*60+O5)-SCORE!$J$10)*SCORE!$L$10),IF((N5*60+O5)&gt;SCORE!$I$10,SCORE!$F$10*POWER((SCORE!$G$10-(N5*60+O5)),SCORE!$H$10),SCORE!$B$10*POWER((SCORE!$C$10-(N5*60+O5)),SCORE!$D$10)))-(SCORE!$Q$10*6),0),0),0)</f>
        <v>201</v>
      </c>
      <c r="Q5" s="14"/>
      <c r="R5" s="1">
        <v>3.65</v>
      </c>
      <c r="S5" s="18">
        <f>ROUND(MAX(IF((R5*100)&gt;0,IF((R5*100)&lt;SCORE!$J$25,300+(((R5*100)-SCORE!$J$25)*SCORE!$L$25),IF((R5*100)&lt;SCORE!$I$25,SCORE!$F$25*POWER(((R5*100)-SCORE!$G$25),SCORE!$H$25),SCORE!$B$25*POWER(((R5*100)-SCORE!$C$25),SCORE!$D$25)))-(SCORE!$Q$25*6),0),0),0)</f>
        <v>180</v>
      </c>
      <c r="T5" s="14"/>
      <c r="U5" s="1">
        <v>1.2</v>
      </c>
      <c r="V5" s="18">
        <f>ROUND(MAX(IF(U5&gt;0,IF((U5*100)&lt;SCORE!$J$23,300+(((U5*100)-SCORE!$J$23)*SCORE!$L$23),IF((U5*100)&lt;SCORE!$I$23,SCORE!$F$23*POWER(((U5*100)-SCORE!$G$23),SCORE!$H$23),SCORE!$B$23*POWER(((U5*100)-SCORE!$C$23),SCORE!$D$23))),0),0),0)</f>
        <v>197</v>
      </c>
      <c r="W5" s="14"/>
      <c r="X5" s="1">
        <v>6.88</v>
      </c>
      <c r="Y5" s="18">
        <f>ROUND(MAX(IF(X5&gt;0,IF(X5&lt;SCORE!$J$64,300+((X5-SCORE!$J$64)*SCORE!$L$64),SCORE!$B$64*POWER((X5-SCORE!$C$64),SCORE!$D$64)),0),0),0)</f>
        <v>165</v>
      </c>
      <c r="Z5" s="14"/>
      <c r="AA5" s="1">
        <v>14.09</v>
      </c>
      <c r="AB5" s="18">
        <f>ROUND(MAX(IF(AA5&gt;0,IF(AA5&lt;SCORE!$J$67,300+((AA5-SCORE!$J$67)*SCORE!$L$67),SCORE!$B$67*POWER((AA5-SCORE!$C$67),SCORE!$D$67)),0),0),0)</f>
        <v>88</v>
      </c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s="13" customFormat="1" ht="15" customHeight="1" x14ac:dyDescent="0.25">
      <c r="A6" s="22">
        <f>A5+1</f>
        <v>2</v>
      </c>
      <c r="B6" s="11" t="str">
        <f ca="1">IF(A6&lt;=$A$2,INDEX(Athletes!$B$2:$B$101,MATCH($B$2&amp;" - "&amp;A6,Athletes!$E$2:$E$101,0)),"")</f>
        <v>Alastair MacLean</v>
      </c>
      <c r="C6" s="18">
        <f ca="1">IF($A6&lt;=$A$2,INDEX(Athletes!$D$2:$D$101,MATCH($B$2&amp;" - "&amp;$A6,Athletes!$E$2:$E$101,0)),"")</f>
        <v>219</v>
      </c>
      <c r="D6" s="14"/>
      <c r="E6" s="135">
        <f t="shared" ca="1" si="0"/>
        <v>536</v>
      </c>
      <c r="F6" s="136">
        <f ca="1">IF(B6&lt;&gt;"",RANK(E6,$E$5:$E$23),"")</f>
        <v>9</v>
      </c>
      <c r="G6" s="14"/>
      <c r="H6" s="172">
        <v>17.32</v>
      </c>
      <c r="I6" s="18">
        <f>ROUND(MAX(IF(H6&gt;0,IF(H6&gt;SCORE!$J$6,300-((H6-SCORE!$J$6)*SCORE!$L$6+(SCORE!$Q$6*4)),IF(H6&gt;SCORE!$I$6,(SCORE!$F$6*POWER((SCORE!$G$6-H6),SCORE!$H$6)-(SCORE!$Q$6*10)),(SCORE!$B$6*POWER((SCORE!$C$6-H6),SCORE!$D$6))-SCORE!$Q$6*10)),0),0),0)</f>
        <v>77</v>
      </c>
      <c r="J6" s="14"/>
      <c r="K6" s="172">
        <v>58.14</v>
      </c>
      <c r="L6" s="18">
        <f>ROUND(MAX(IF(K6&gt;0,IF(K6&gt;SCORE!$J$8,300-((K6-SCORE!$J$8)*SCORE!$L$8),(SCORE!$B$8*POWER((SCORE!$C$8-K6),SCORE!$D$8))),0),0),0)</f>
        <v>118</v>
      </c>
      <c r="M6" s="14"/>
      <c r="N6" s="24">
        <v>3</v>
      </c>
      <c r="O6" s="173">
        <v>17.95</v>
      </c>
      <c r="P6" s="18">
        <f>ROUND(MAX(IF(N6&gt;0,IF((N6*60+O6)&gt;SCORE!$J$10,300-(((N6*60+O6)-SCORE!$J$10)*SCORE!$L$10),IF((N6*60+O6)&gt;SCORE!$I$10,SCORE!$F$10*POWER((SCORE!$G$10-(N6*60+O6)),SCORE!$H$10),SCORE!$B$10*POWER((SCORE!$C$10-(N6*60+O6)),SCORE!$D$10)))-(SCORE!$Q$10*6),0),0),0)</f>
        <v>65</v>
      </c>
      <c r="Q6" s="14"/>
      <c r="R6" s="1">
        <v>2.7</v>
      </c>
      <c r="S6" s="18">
        <f>ROUND(MAX(IF((R6*100)&gt;0,IF((R6*100)&lt;SCORE!$J$25,300+(((R6*100)-SCORE!$J$25)*SCORE!$L$25),IF((R6*100)&lt;SCORE!$I$25,SCORE!$F$25*POWER(((R6*100)-SCORE!$G$25),SCORE!$H$25),SCORE!$B$25*POWER(((R6*100)-SCORE!$C$25),SCORE!$D$25)))-(SCORE!$Q$25*6),0),0),0)</f>
        <v>99</v>
      </c>
      <c r="T6" s="14"/>
      <c r="U6" s="1">
        <v>1</v>
      </c>
      <c r="V6" s="18">
        <f>ROUND(MAX(IF(U6&gt;0,IF((U6*100)&lt;SCORE!$J$23,300+(((U6*100)-SCORE!$J$23)*SCORE!$L$23),IF((U6*100)&lt;SCORE!$I$23,SCORE!$F$23*POWER(((U6*100)-SCORE!$G$23),SCORE!$H$23),SCORE!$B$23*POWER(((U6*100)-SCORE!$C$23),SCORE!$D$23))),0),0),0)</f>
        <v>136</v>
      </c>
      <c r="W6" s="14"/>
      <c r="X6" s="1">
        <v>2.97</v>
      </c>
      <c r="Y6" s="18">
        <f>ROUND(MAX(IF(X6&gt;0,IF(X6&lt;SCORE!$J$64,300+((X6-SCORE!$J$64)*SCORE!$L$64),SCORE!$B$64*POWER((X6-SCORE!$C$64),SCORE!$D$64)),0),0),0)</f>
        <v>33</v>
      </c>
      <c r="Z6" s="14"/>
      <c r="AA6" s="1">
        <v>5.87</v>
      </c>
      <c r="AB6" s="18">
        <f>ROUND(MAX(IF(AA6&gt;0,IF(AA6&lt;SCORE!$J$67,300+((AA6-SCORE!$J$67)*SCORE!$L$67),SCORE!$B$67*POWER((AA6-SCORE!$C$67),SCORE!$D$67)),0),0),0)</f>
        <v>8</v>
      </c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s="13" customFormat="1" ht="14.5" x14ac:dyDescent="0.25">
      <c r="A7" s="22">
        <f t="shared" ref="A7:A23" si="1">A6+1</f>
        <v>3</v>
      </c>
      <c r="B7" s="11" t="str">
        <f ca="1">IF(A7&lt;=$A$2,INDEX(Athletes!$B$2:$B$101,MATCH($B$2&amp;" - "&amp;A7,Athletes!$E$2:$E$101,0)),"")</f>
        <v>Corey Boughen</v>
      </c>
      <c r="C7" s="18">
        <f ca="1">IF($A7&lt;=$A$2,INDEX(Athletes!$D$2:$D$101,MATCH($B$2&amp;" - "&amp;$A7,Athletes!$E$2:$E$101,0)),"")</f>
        <v>220</v>
      </c>
      <c r="D7" s="14"/>
      <c r="E7" s="135">
        <f t="shared" ca="1" si="0"/>
        <v>666</v>
      </c>
      <c r="F7" s="136">
        <f ca="1">IF(B7&lt;&gt;"",RANK(E7,$E$5:$E$23),"")</f>
        <v>7</v>
      </c>
      <c r="G7" s="14"/>
      <c r="H7" s="172">
        <v>17.399999999999999</v>
      </c>
      <c r="I7" s="18">
        <f>ROUND(MAX(IF(H7&gt;0,IF(H7&gt;SCORE!$J$6,300-((H7-SCORE!$J$6)*SCORE!$L$6+(SCORE!$Q$6*4)),IF(H7&gt;SCORE!$I$6,(SCORE!$F$6*POWER((SCORE!$G$6-H7),SCORE!$H$6)-(SCORE!$Q$6*10)),(SCORE!$B$6*POWER((SCORE!$C$6-H7),SCORE!$D$6))-SCORE!$Q$6*10)),0),0),0)</f>
        <v>73</v>
      </c>
      <c r="J7" s="14"/>
      <c r="K7" s="172">
        <v>56.66</v>
      </c>
      <c r="L7" s="18">
        <f>ROUND(MAX(IF(K7&gt;0,IF(K7&gt;SCORE!$J$8,300-((K7-SCORE!$J$8)*SCORE!$L$8),(SCORE!$B$8*POWER((SCORE!$C$8-K7),SCORE!$D$8))),0),0),0)</f>
        <v>134</v>
      </c>
      <c r="M7" s="14"/>
      <c r="N7" s="24">
        <v>3</v>
      </c>
      <c r="O7" s="173">
        <v>11.88</v>
      </c>
      <c r="P7" s="18">
        <f>ROUND(MAX(IF(N7&gt;0,IF((N7*60+O7)&gt;SCORE!$J$10,300-(((N7*60+O7)-SCORE!$J$10)*SCORE!$L$10),IF((N7*60+O7)&gt;SCORE!$I$10,SCORE!$F$10*POWER((SCORE!$G$10-(N7*60+O7)),SCORE!$H$10),SCORE!$B$10*POWER((SCORE!$C$10-(N7*60+O7)),SCORE!$D$10)))-(SCORE!$Q$10*6),0),0),0)</f>
        <v>88</v>
      </c>
      <c r="Q7" s="14"/>
      <c r="R7" s="1">
        <v>3.04</v>
      </c>
      <c r="S7" s="18">
        <f>ROUND(MAX(IF((R7*100)&gt;0,IF((R7*100)&lt;SCORE!$J$25,300+(((R7*100)-SCORE!$J$25)*SCORE!$L$25),IF((R7*100)&lt;SCORE!$I$25,SCORE!$F$25*POWER(((R7*100)-SCORE!$G$25),SCORE!$H$25),SCORE!$B$25*POWER(((R7*100)-SCORE!$C$25),SCORE!$D$25)))-(SCORE!$Q$25*6),0),0),0)</f>
        <v>128</v>
      </c>
      <c r="T7" s="14"/>
      <c r="U7" s="1">
        <v>1.1000000000000001</v>
      </c>
      <c r="V7" s="18">
        <f>ROUND(MAX(IF(U7&gt;0,IF((U7*100)&lt;SCORE!$J$23,300+(((U7*100)-SCORE!$J$23)*SCORE!$L$23),IF((U7*100)&lt;SCORE!$I$23,SCORE!$F$23*POWER(((U7*100)-SCORE!$G$23),SCORE!$H$23),SCORE!$B$23*POWER(((U7*100)-SCORE!$C$23),SCORE!$D$23))),0),0),0)</f>
        <v>167</v>
      </c>
      <c r="W7" s="14"/>
      <c r="X7" s="1">
        <v>3.52</v>
      </c>
      <c r="Y7" s="18">
        <f>ROUND(MAX(IF(X7&gt;0,IF(X7&lt;SCORE!$J$64,300+((X7-SCORE!$J$64)*SCORE!$L$64),SCORE!$B$64*POWER((X7-SCORE!$C$64),SCORE!$D$64)),0),0),0)</f>
        <v>52</v>
      </c>
      <c r="Z7" s="14"/>
      <c r="AA7" s="1">
        <v>7.44</v>
      </c>
      <c r="AB7" s="18">
        <f>ROUND(MAX(IF(AA7&gt;0,IF(AA7&lt;SCORE!$J$67,300+((AA7-SCORE!$J$67)*SCORE!$L$67),SCORE!$B$67*POWER((AA7-SCORE!$C$67),SCORE!$D$67)),0),0),0)</f>
        <v>24</v>
      </c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s="13" customFormat="1" ht="14.5" x14ac:dyDescent="0.25">
      <c r="A8" s="22">
        <f t="shared" si="1"/>
        <v>4</v>
      </c>
      <c r="B8" s="11" t="str">
        <f ca="1">IF(A8&lt;=$A$2,INDEX(Athletes!$B$2:$B$101,MATCH($B$2&amp;" - "&amp;A8,Athletes!$E$2:$E$101,0)),"")</f>
        <v>Tom Nicholl</v>
      </c>
      <c r="C8" s="18">
        <f ca="1">IF($A8&lt;=$A$2,INDEX(Athletes!$D$2:$D$101,MATCH($B$2&amp;" - "&amp;$A8,Athletes!$E$2:$E$101,0)),"")</f>
        <v>221</v>
      </c>
      <c r="D8" s="14"/>
      <c r="E8" s="135">
        <f t="shared" ca="1" si="0"/>
        <v>905</v>
      </c>
      <c r="F8" s="136">
        <f ca="1">IF(B8&lt;&gt;"",RANK(E8,$E$5:$E$23),"")</f>
        <v>4</v>
      </c>
      <c r="G8" s="14"/>
      <c r="H8" s="172">
        <v>14.83</v>
      </c>
      <c r="I8" s="18">
        <f>ROUND(MAX(IF(H8&gt;0,IF(H8&gt;SCORE!$J$6,300-((H8-SCORE!$J$6)*SCORE!$L$6+(SCORE!$Q$6*4)),IF(H8&gt;SCORE!$I$6,(SCORE!$F$6*POWER((SCORE!$G$6-H8),SCORE!$H$6)-(SCORE!$Q$6*10)),(SCORE!$B$6*POWER((SCORE!$C$6-H8),SCORE!$D$6))-SCORE!$Q$6*10)),0),0),0)</f>
        <v>191</v>
      </c>
      <c r="J8" s="14"/>
      <c r="K8" s="172">
        <v>53.68</v>
      </c>
      <c r="L8" s="18">
        <f>ROUND(MAX(IF(K8&gt;0,IF(K8&gt;SCORE!$J$8,300-((K8-SCORE!$J$8)*SCORE!$L$8),(SCORE!$B$8*POWER((SCORE!$C$8-K8),SCORE!$D$8))),0),0),0)</f>
        <v>166</v>
      </c>
      <c r="M8" s="14"/>
      <c r="N8" s="24">
        <v>3</v>
      </c>
      <c r="O8" s="173">
        <v>4.18</v>
      </c>
      <c r="P8" s="18">
        <f>ROUND(MAX(IF(N8&gt;0,IF((N8*60+O8)&gt;SCORE!$J$10,300-(((N8*60+O8)-SCORE!$J$10)*SCORE!$L$10),IF((N8*60+O8)&gt;SCORE!$I$10,SCORE!$F$10*POWER((SCORE!$G$10-(N8*60+O8)),SCORE!$H$10),SCORE!$B$10*POWER((SCORE!$C$10-(N8*60+O8)),SCORE!$D$10)))-(SCORE!$Q$10*6),0),0),0)</f>
        <v>117</v>
      </c>
      <c r="Q8" s="14"/>
      <c r="R8" s="1">
        <v>3.24</v>
      </c>
      <c r="S8" s="18">
        <f>ROUND(MAX(IF((R8*100)&gt;0,IF((R8*100)&lt;SCORE!$J$25,300+(((R8*100)-SCORE!$J$25)*SCORE!$L$25),IF((R8*100)&lt;SCORE!$I$25,SCORE!$F$25*POWER(((R8*100)-SCORE!$G$25),SCORE!$H$25),SCORE!$B$25*POWER(((R8*100)-SCORE!$C$25),SCORE!$D$25)))-(SCORE!$Q$25*6),0),0),0)</f>
        <v>145</v>
      </c>
      <c r="T8" s="14"/>
      <c r="U8" s="1">
        <v>1.1499999999999999</v>
      </c>
      <c r="V8" s="18">
        <f>ROUND(MAX(IF(U8&gt;0,IF((U8*100)&lt;SCORE!$J$23,300+(((U8*100)-SCORE!$J$23)*SCORE!$L$23),IF((U8*100)&lt;SCORE!$I$23,SCORE!$F$23*POWER(((U8*100)-SCORE!$G$23),SCORE!$H$23),SCORE!$B$23*POWER(((U8*100)-SCORE!$C$23),SCORE!$D$23))),0),0),0)</f>
        <v>182</v>
      </c>
      <c r="W8" s="14"/>
      <c r="X8" s="1">
        <v>4.26</v>
      </c>
      <c r="Y8" s="18">
        <f>ROUND(MAX(IF(X8&gt;0,IF(X8&lt;SCORE!$J$64,300+((X8-SCORE!$J$64)*SCORE!$L$64),SCORE!$B$64*POWER((X8-SCORE!$C$64),SCORE!$D$64)),0),0),0)</f>
        <v>77</v>
      </c>
      <c r="Z8" s="14"/>
      <c r="AA8" s="1">
        <v>7.82</v>
      </c>
      <c r="AB8" s="18">
        <f>ROUND(MAX(IF(AA8&gt;0,IF(AA8&lt;SCORE!$J$67,300+((AA8-SCORE!$J$67)*SCORE!$L$67),SCORE!$B$67*POWER((AA8-SCORE!$C$67),SCORE!$D$67)),0),0),0)</f>
        <v>27</v>
      </c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s="13" customFormat="1" ht="14.5" x14ac:dyDescent="0.25">
      <c r="A9" s="22">
        <f t="shared" si="1"/>
        <v>5</v>
      </c>
      <c r="B9" s="11" t="str">
        <f ca="1">IF(A9&lt;=$A$2,INDEX(Athletes!$B$2:$B$101,MATCH($B$2&amp;" - "&amp;A9,Athletes!$E$2:$E$101,0)),"")</f>
        <v>Sean McLellan</v>
      </c>
      <c r="C9" s="18">
        <f ca="1">IF($A9&lt;=$A$2,INDEX(Athletes!$D$2:$D$101,MATCH($B$2&amp;" - "&amp;$A9,Athletes!$E$2:$E$101,0)),"")</f>
        <v>222</v>
      </c>
      <c r="D9" s="14"/>
      <c r="E9" s="135">
        <f t="shared" ca="1" si="0"/>
        <v>0</v>
      </c>
      <c r="F9" s="136">
        <f t="shared" ref="F9:F23" ca="1" si="2">IF(B9&lt;&gt;"",RANK(E9,$E$5:$E$23),"")</f>
        <v>13</v>
      </c>
      <c r="G9" s="14"/>
      <c r="H9" s="172"/>
      <c r="I9" s="18">
        <f>ROUND(MAX(IF(H9&gt;0,IF(H9&gt;SCORE!$J$6,300-((H9-SCORE!$J$6)*SCORE!$L$6+(SCORE!$Q$6*4)),IF(H9&gt;SCORE!$I$6,(SCORE!$F$6*POWER((SCORE!$G$6-H9),SCORE!$H$6)-(SCORE!$Q$6*10)),(SCORE!$B$6*POWER((SCORE!$C$6-H9),SCORE!$D$6))-SCORE!$Q$6*10)),0),0),0)</f>
        <v>0</v>
      </c>
      <c r="J9" s="14"/>
      <c r="K9" s="172"/>
      <c r="L9" s="18">
        <f>ROUND(MAX(IF(K9&gt;0,IF(K9&gt;SCORE!$J$8,300-((K9-SCORE!$J$8)*SCORE!$L$8),(SCORE!$B$8*POWER((SCORE!$C$8-K9),SCORE!$D$8))),0),0),0)</f>
        <v>0</v>
      </c>
      <c r="M9" s="14"/>
      <c r="N9" s="24"/>
      <c r="O9" s="173"/>
      <c r="P9" s="18">
        <f>ROUND(MAX(IF(N9&gt;0,IF((N9*60+O9)&gt;SCORE!$J$10,300-(((N9*60+O9)-SCORE!$J$10)*SCORE!$L$10),IF((N9*60+O9)&gt;SCORE!$I$10,SCORE!$F$10*POWER((SCORE!$G$10-(N9*60+O9)),SCORE!$H$10),SCORE!$B$10*POWER((SCORE!$C$10-(N9*60+O9)),SCORE!$D$10)))-(SCORE!$Q$10*6),0),0),0)</f>
        <v>0</v>
      </c>
      <c r="Q9" s="14"/>
      <c r="R9" s="1"/>
      <c r="S9" s="18">
        <f>ROUND(MAX(IF((R9*100)&gt;0,IF((R9*100)&lt;SCORE!$J$25,300+(((R9*100)-SCORE!$J$25)*SCORE!$L$25),IF((R9*100)&lt;SCORE!$I$25,SCORE!$F$25*POWER(((R9*100)-SCORE!$G$25),SCORE!$H$25),SCORE!$B$25*POWER(((R9*100)-SCORE!$C$25),SCORE!$D$25)))-(SCORE!$Q$25*6),0),0),0)</f>
        <v>0</v>
      </c>
      <c r="T9" s="14"/>
      <c r="U9" s="1"/>
      <c r="V9" s="18">
        <f>ROUND(MAX(IF(U9&gt;0,IF((U9*100)&lt;SCORE!$J$23,300+(((U9*100)-SCORE!$J$23)*SCORE!$L$23),IF((U9*100)&lt;SCORE!$I$23,SCORE!$F$23*POWER(((U9*100)-SCORE!$G$23),SCORE!$H$23),SCORE!$B$23*POWER(((U9*100)-SCORE!$C$23),SCORE!$D$23))),0),0),0)</f>
        <v>0</v>
      </c>
      <c r="W9" s="14"/>
      <c r="X9" s="1"/>
      <c r="Y9" s="18">
        <f>ROUND(MAX(IF(X9&gt;0,IF(X9&lt;SCORE!$J$64,300+((X9-SCORE!$J$64)*SCORE!$L$64),SCORE!$B$64*POWER((X9-SCORE!$C$64),SCORE!$D$64)),0),0),0)</f>
        <v>0</v>
      </c>
      <c r="Z9" s="14"/>
      <c r="AA9" s="1"/>
      <c r="AB9" s="18">
        <f>ROUND(MAX(IF(AA9&gt;0,IF(AA9&lt;SCORE!$J$67,300+((AA9-SCORE!$J$67)*SCORE!$L$67),SCORE!$B$67*POWER((AA9-SCORE!$C$67),SCORE!$D$67)),0),0),0)</f>
        <v>0</v>
      </c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s="13" customFormat="1" ht="14.5" x14ac:dyDescent="0.25">
      <c r="A10" s="167">
        <f t="shared" si="1"/>
        <v>6</v>
      </c>
      <c r="B10" s="168" t="str">
        <f ca="1">IF(A10&lt;=$A$2,INDEX(Athletes!$B$2:$B$101,MATCH($B$2&amp;" - "&amp;A10,Athletes!$E$2:$E$101,0)),"")</f>
        <v>Brady Mclean</v>
      </c>
      <c r="C10" s="169">
        <f ca="1">IF($A10&lt;=$A$2,INDEX(Athletes!$D$2:$D$101,MATCH($B$2&amp;" - "&amp;$A10,Athletes!$E$2:$E$101,0)),"")</f>
        <v>223</v>
      </c>
      <c r="D10" s="14"/>
      <c r="E10" s="135">
        <f t="shared" ca="1" si="0"/>
        <v>867</v>
      </c>
      <c r="F10" s="136">
        <f t="shared" ca="1" si="2"/>
        <v>6</v>
      </c>
      <c r="G10" s="14"/>
      <c r="H10" s="172">
        <v>15.51</v>
      </c>
      <c r="I10" s="169">
        <f>ROUND(MAX(IF(H10&gt;0,IF(H10&gt;SCORE!$J$6,300-((H10-SCORE!$J$6)*SCORE!$L$6+(SCORE!$Q$6*4)),IF(H10&gt;SCORE!$I$6,(SCORE!$F$6*POWER((SCORE!$G$6-H10),SCORE!$H$6)-(SCORE!$Q$6*10)),(SCORE!$B$6*POWER((SCORE!$C$6-H10),SCORE!$D$6))-SCORE!$Q$6*10)),0),0),0)</f>
        <v>160</v>
      </c>
      <c r="J10" s="14"/>
      <c r="K10" s="172">
        <v>52.02</v>
      </c>
      <c r="L10" s="169">
        <f>ROUND(MAX(IF(K10&gt;0,IF(K10&gt;SCORE!$J$8,300-((K10-SCORE!$J$8)*SCORE!$L$8),(SCORE!$B$8*POWER((SCORE!$C$8-K10),SCORE!$D$8))),0),0),0)</f>
        <v>184</v>
      </c>
      <c r="M10" s="14"/>
      <c r="N10" s="24">
        <v>2</v>
      </c>
      <c r="O10" s="173">
        <v>46.58</v>
      </c>
      <c r="P10" s="169">
        <f>ROUND(MAX(IF(N10&gt;0,IF((N10*60+O10)&gt;SCORE!$J$10,300-(((N10*60+O10)-SCORE!$J$10)*SCORE!$L$10),IF((N10*60+O10)&gt;SCORE!$I$10,SCORE!$F$10*POWER((SCORE!$G$10-(N10*60+O10)),SCORE!$H$10),SCORE!$B$10*POWER((SCORE!$C$10-(N10*60+O10)),SCORE!$D$10)))-(SCORE!$Q$10*6),0),0),0)</f>
        <v>184</v>
      </c>
      <c r="Q10" s="14"/>
      <c r="R10" s="1">
        <v>3.37</v>
      </c>
      <c r="S10" s="169">
        <f>ROUND(MAX(IF((R10*100)&gt;0,IF((R10*100)&lt;SCORE!$J$25,300+(((R10*100)-SCORE!$J$25)*SCORE!$L$25),IF((R10*100)&lt;SCORE!$I$25,SCORE!$F$25*POWER(((R10*100)-SCORE!$G$25),SCORE!$H$25),SCORE!$B$25*POWER(((R10*100)-SCORE!$C$25),SCORE!$D$25)))-(SCORE!$Q$25*6),0),0),0)</f>
        <v>156</v>
      </c>
      <c r="T10" s="14"/>
      <c r="U10" s="1">
        <v>0.9</v>
      </c>
      <c r="V10" s="169">
        <f>ROUND(MAX(IF(U10&gt;0,IF((U10*100)&lt;SCORE!$J$23,300+(((U10*100)-SCORE!$J$23)*SCORE!$L$23),IF((U10*100)&lt;SCORE!$I$23,SCORE!$F$23*POWER(((U10*100)-SCORE!$G$23),SCORE!$H$23),SCORE!$B$23*POWER(((U10*100)-SCORE!$C$23),SCORE!$D$23))),0),0),0)</f>
        <v>106</v>
      </c>
      <c r="W10" s="14"/>
      <c r="X10" s="1">
        <v>3.56</v>
      </c>
      <c r="Y10" s="169">
        <f>ROUND(MAX(IF(X10&gt;0,IF(X10&lt;SCORE!$J$64,300+((X10-SCORE!$J$64)*SCORE!$L$64),SCORE!$B$64*POWER((X10-SCORE!$C$64),SCORE!$D$64)),0),0),0)</f>
        <v>53</v>
      </c>
      <c r="Z10" s="14"/>
      <c r="AA10" s="1">
        <v>7.43</v>
      </c>
      <c r="AB10" s="169">
        <f>ROUND(MAX(IF(AA10&gt;0,IF(AA10&lt;SCORE!$J$67,300+((AA10-SCORE!$J$67)*SCORE!$L$67),SCORE!$B$67*POWER((AA10-SCORE!$C$67),SCORE!$D$67)),0),0),0)</f>
        <v>24</v>
      </c>
    </row>
    <row r="11" spans="1:51" s="13" customFormat="1" ht="14.5" x14ac:dyDescent="0.25">
      <c r="A11" s="167">
        <f t="shared" si="1"/>
        <v>7</v>
      </c>
      <c r="B11" s="168" t="str">
        <f ca="1">IF(A11&lt;=$A$2,INDEX(Athletes!$B$2:$B$101,MATCH($B$2&amp;" - "&amp;A11,Athletes!$E$2:$E$101,0)),"")</f>
        <v>Daniel Byers</v>
      </c>
      <c r="C11" s="169">
        <f ca="1">IF($A11&lt;=$A$2,INDEX(Athletes!$D$2:$D$101,MATCH($B$2&amp;" - "&amp;$A11,Athletes!$E$2:$E$101,0)),"")</f>
        <v>224</v>
      </c>
      <c r="D11" s="14"/>
      <c r="E11" s="135">
        <f t="shared" ca="1" si="0"/>
        <v>1253</v>
      </c>
      <c r="F11" s="136">
        <f t="shared" ca="1" si="2"/>
        <v>2</v>
      </c>
      <c r="G11" s="14"/>
      <c r="H11" s="172">
        <v>14.57</v>
      </c>
      <c r="I11" s="169">
        <f>ROUND(MAX(IF(H11&gt;0,IF(H11&gt;SCORE!$J$6,300-((H11-SCORE!$J$6)*SCORE!$L$6+(SCORE!$Q$6*4)),IF(H11&gt;SCORE!$I$6,(SCORE!$F$6*POWER((SCORE!$G$6-H11),SCORE!$H$6)-(SCORE!$Q$6*10)),(SCORE!$B$6*POWER((SCORE!$C$6-H11),SCORE!$D$6))-SCORE!$Q$6*10)),0),0),0)</f>
        <v>203</v>
      </c>
      <c r="J11" s="14"/>
      <c r="K11" s="172">
        <v>46.78</v>
      </c>
      <c r="L11" s="169">
        <f>ROUND(MAX(IF(K11&gt;0,IF(K11&gt;SCORE!$J$8,300-((K11-SCORE!$J$8)*SCORE!$L$8),(SCORE!$B$8*POWER((SCORE!$C$8-K11),SCORE!$D$8))),0),0),0)</f>
        <v>240</v>
      </c>
      <c r="M11" s="14"/>
      <c r="N11" s="24">
        <v>2</v>
      </c>
      <c r="O11" s="173">
        <v>32.22</v>
      </c>
      <c r="P11" s="169">
        <f>ROUND(MAX(IF(N11&gt;0,IF((N11*60+O11)&gt;SCORE!$J$10,300-(((N11*60+O11)-SCORE!$J$10)*SCORE!$L$10),IF((N11*60+O11)&gt;SCORE!$I$10,SCORE!$F$10*POWER((SCORE!$G$10-(N11*60+O11)),SCORE!$H$10),SCORE!$B$10*POWER((SCORE!$C$10-(N11*60+O11)),SCORE!$D$10)))-(SCORE!$Q$10*6),0),0),0)</f>
        <v>238</v>
      </c>
      <c r="Q11" s="14"/>
      <c r="R11" s="1">
        <v>3.79</v>
      </c>
      <c r="S11" s="169">
        <f>ROUND(MAX(IF((R11*100)&gt;0,IF((R11*100)&lt;SCORE!$J$25,300+(((R11*100)-SCORE!$J$25)*SCORE!$L$25),IF((R11*100)&lt;SCORE!$I$25,SCORE!$F$25*POWER(((R11*100)-SCORE!$G$25),SCORE!$H$25),SCORE!$B$25*POWER(((R11*100)-SCORE!$C$25),SCORE!$D$25)))-(SCORE!$Q$25*6),0),0),0)</f>
        <v>192</v>
      </c>
      <c r="T11" s="14"/>
      <c r="U11" s="1">
        <v>1.25</v>
      </c>
      <c r="V11" s="169">
        <f>ROUND(MAX(IF(U11&gt;0,IF((U11*100)&lt;SCORE!$J$23,300+(((U11*100)-SCORE!$J$23)*SCORE!$L$23),IF((U11*100)&lt;SCORE!$I$23,SCORE!$F$23*POWER(((U11*100)-SCORE!$G$23),SCORE!$H$23),SCORE!$B$23*POWER(((U11*100)-SCORE!$C$23),SCORE!$D$23))),0),0),0)</f>
        <v>212</v>
      </c>
      <c r="W11" s="14"/>
      <c r="X11" s="1">
        <v>5.27</v>
      </c>
      <c r="Y11" s="169">
        <f>ROUND(MAX(IF(X11&gt;0,IF(X11&lt;SCORE!$J$64,300+((X11-SCORE!$J$64)*SCORE!$L$64),SCORE!$B$64*POWER((X11-SCORE!$C$64),SCORE!$D$64)),0),0),0)</f>
        <v>111</v>
      </c>
      <c r="Z11" s="14"/>
      <c r="AA11" s="1">
        <v>10.92</v>
      </c>
      <c r="AB11" s="169">
        <f>ROUND(MAX(IF(AA11&gt;0,IF(AA11&lt;SCORE!$J$67,300+((AA11-SCORE!$J$67)*SCORE!$L$67),SCORE!$B$67*POWER((AA11-SCORE!$C$67),SCORE!$D$67)),0),0),0)</f>
        <v>57</v>
      </c>
    </row>
    <row r="12" spans="1:51" s="13" customFormat="1" ht="14.5" x14ac:dyDescent="0.25">
      <c r="A12" s="167">
        <f t="shared" si="1"/>
        <v>8</v>
      </c>
      <c r="B12" s="168" t="str">
        <f ca="1">IF(A12&lt;=$A$2,INDEX(Athletes!$B$2:$B$101,MATCH($B$2&amp;" - "&amp;A12,Athletes!$E$2:$E$101,0)),"")</f>
        <v>Leo Brockie</v>
      </c>
      <c r="C12" s="169">
        <f ca="1">IF($A12&lt;=$A$2,INDEX(Athletes!$D$2:$D$101,MATCH($B$2&amp;" - "&amp;$A12,Athletes!$E$2:$E$101,0)),"")</f>
        <v>225</v>
      </c>
      <c r="D12" s="14"/>
      <c r="E12" s="135">
        <f t="shared" ca="1" si="0"/>
        <v>0</v>
      </c>
      <c r="F12" s="136">
        <f t="shared" ca="1" si="2"/>
        <v>13</v>
      </c>
      <c r="G12" s="14"/>
      <c r="H12" s="172"/>
      <c r="I12" s="169">
        <f>ROUND(MAX(IF(H12&gt;0,IF(H12&gt;SCORE!$J$6,300-((H12-SCORE!$J$6)*SCORE!$L$6+(SCORE!$Q$6*4)),IF(H12&gt;SCORE!$I$6,(SCORE!$F$6*POWER((SCORE!$G$6-H12),SCORE!$H$6)-(SCORE!$Q$6*10)),(SCORE!$B$6*POWER((SCORE!$C$6-H12),SCORE!$D$6))-SCORE!$Q$6*10)),0),0),0)</f>
        <v>0</v>
      </c>
      <c r="J12" s="14"/>
      <c r="K12" s="172"/>
      <c r="L12" s="169">
        <f>ROUND(MAX(IF(K12&gt;0,IF(K12&gt;SCORE!$J$8,300-((K12-SCORE!$J$8)*SCORE!$L$8),(SCORE!$B$8*POWER((SCORE!$C$8-K12),SCORE!$D$8))),0),0),0)</f>
        <v>0</v>
      </c>
      <c r="M12" s="14"/>
      <c r="N12" s="24"/>
      <c r="O12" s="173"/>
      <c r="P12" s="169">
        <f>ROUND(MAX(IF(N12&gt;0,IF((N12*60+O12)&gt;SCORE!$J$10,300-(((N12*60+O12)-SCORE!$J$10)*SCORE!$L$10),IF((N12*60+O12)&gt;SCORE!$I$10,SCORE!$F$10*POWER((SCORE!$G$10-(N12*60+O12)),SCORE!$H$10),SCORE!$B$10*POWER((SCORE!$C$10-(N12*60+O12)),SCORE!$D$10)))-(SCORE!$Q$10*6),0),0),0)</f>
        <v>0</v>
      </c>
      <c r="Q12" s="14"/>
      <c r="R12" s="1"/>
      <c r="S12" s="169">
        <f>ROUND(MAX(IF((R12*100)&gt;0,IF((R12*100)&lt;SCORE!$J$25,300+(((R12*100)-SCORE!$J$25)*SCORE!$L$25),IF((R12*100)&lt;SCORE!$I$25,SCORE!$F$25*POWER(((R12*100)-SCORE!$G$25),SCORE!$H$25),SCORE!$B$25*POWER(((R12*100)-SCORE!$C$25),SCORE!$D$25)))-(SCORE!$Q$25*6),0),0),0)</f>
        <v>0</v>
      </c>
      <c r="T12" s="14"/>
      <c r="U12" s="1"/>
      <c r="V12" s="169">
        <f>ROUND(MAX(IF(U12&gt;0,IF((U12*100)&lt;SCORE!$J$23,300+(((U12*100)-SCORE!$J$23)*SCORE!$L$23),IF((U12*100)&lt;SCORE!$I$23,SCORE!$F$23*POWER(((U12*100)-SCORE!$G$23),SCORE!$H$23),SCORE!$B$23*POWER(((U12*100)-SCORE!$C$23),SCORE!$D$23))),0),0),0)</f>
        <v>0</v>
      </c>
      <c r="W12" s="14"/>
      <c r="X12" s="1"/>
      <c r="Y12" s="169">
        <f>ROUND(MAX(IF(X12&gt;0,IF(X12&lt;SCORE!$J$64,300+((X12-SCORE!$J$64)*SCORE!$L$64),SCORE!$B$64*POWER((X12-SCORE!$C$64),SCORE!$D$64)),0),0),0)</f>
        <v>0</v>
      </c>
      <c r="Z12" s="14"/>
      <c r="AA12" s="1"/>
      <c r="AB12" s="169">
        <f>ROUND(MAX(IF(AA12&gt;0,IF(AA12&lt;SCORE!$J$67,300+((AA12-SCORE!$J$67)*SCORE!$L$67),SCORE!$B$67*POWER((AA12-SCORE!$C$67),SCORE!$D$67)),0),0),0)</f>
        <v>0</v>
      </c>
    </row>
    <row r="13" spans="1:51" s="13" customFormat="1" ht="14.5" x14ac:dyDescent="0.25">
      <c r="A13" s="167">
        <f t="shared" si="1"/>
        <v>9</v>
      </c>
      <c r="B13" s="168" t="str">
        <f ca="1">IF(A13&lt;=$A$2,INDEX(Athletes!$B$2:$B$101,MATCH($B$2&amp;" - "&amp;A13,Athletes!$E$2:$E$101,0)),"")</f>
        <v>Luca Pieroni</v>
      </c>
      <c r="C13" s="169">
        <f ca="1">IF($A13&lt;=$A$2,INDEX(Athletes!$D$2:$D$101,MATCH($B$2&amp;" - "&amp;$A13,Athletes!$E$2:$E$101,0)),"")</f>
        <v>226</v>
      </c>
      <c r="D13" s="14"/>
      <c r="E13" s="135">
        <f t="shared" ca="1" si="0"/>
        <v>480</v>
      </c>
      <c r="F13" s="136">
        <f t="shared" ca="1" si="2"/>
        <v>11</v>
      </c>
      <c r="G13" s="14"/>
      <c r="H13" s="172">
        <v>15.94</v>
      </c>
      <c r="I13" s="169">
        <f>ROUND(MAX(IF(H13&gt;0,IF(H13&gt;SCORE!$J$6,300-((H13-SCORE!$J$6)*SCORE!$L$6+(SCORE!$Q$6*4)),IF(H13&gt;SCORE!$I$6,(SCORE!$F$6*POWER((SCORE!$G$6-H13),SCORE!$H$6)-(SCORE!$Q$6*10)),(SCORE!$B$6*POWER((SCORE!$C$6-H13),SCORE!$D$6))-SCORE!$Q$6*10)),0),0),0)</f>
        <v>140</v>
      </c>
      <c r="J13" s="14"/>
      <c r="K13" s="172">
        <v>54.55</v>
      </c>
      <c r="L13" s="169">
        <f>ROUND(MAX(IF(K13&gt;0,IF(K13&gt;SCORE!$J$8,300-((K13-SCORE!$J$8)*SCORE!$L$8),(SCORE!$B$8*POWER((SCORE!$C$8-K13),SCORE!$D$8))),0),0),0)</f>
        <v>156</v>
      </c>
      <c r="M13" s="14"/>
      <c r="N13" s="24">
        <v>3</v>
      </c>
      <c r="O13" s="173">
        <v>11.29</v>
      </c>
      <c r="P13" s="169">
        <f>ROUND(MAX(IF(N13&gt;0,IF((N13*60+O13)&gt;SCORE!$J$10,300-(((N13*60+O13)-SCORE!$J$10)*SCORE!$L$10),IF((N13*60+O13)&gt;SCORE!$I$10,SCORE!$F$10*POWER((SCORE!$G$10-(N13*60+O13)),SCORE!$H$10),SCORE!$B$10*POWER((SCORE!$C$10-(N13*60+O13)),SCORE!$D$10)))-(SCORE!$Q$10*6),0),0),0)</f>
        <v>90</v>
      </c>
      <c r="Q13" s="14"/>
      <c r="R13" s="1"/>
      <c r="S13" s="169">
        <f>ROUND(MAX(IF((R13*100)&gt;0,IF((R13*100)&lt;SCORE!$J$25,300+(((R13*100)-SCORE!$J$25)*SCORE!$L$25),IF((R13*100)&lt;SCORE!$I$25,SCORE!$F$25*POWER(((R13*100)-SCORE!$G$25),SCORE!$H$25),SCORE!$B$25*POWER(((R13*100)-SCORE!$C$25),SCORE!$D$25)))-(SCORE!$Q$25*6),0),0),0)</f>
        <v>0</v>
      </c>
      <c r="T13" s="14"/>
      <c r="U13" s="1"/>
      <c r="V13" s="169">
        <f>ROUND(MAX(IF(U13&gt;0,IF((U13*100)&lt;SCORE!$J$23,300+(((U13*100)-SCORE!$J$23)*SCORE!$L$23),IF((U13*100)&lt;SCORE!$I$23,SCORE!$F$23*POWER(((U13*100)-SCORE!$G$23),SCORE!$H$23),SCORE!$B$23*POWER(((U13*100)-SCORE!$C$23),SCORE!$D$23))),0),0),0)</f>
        <v>0</v>
      </c>
      <c r="W13" s="14"/>
      <c r="X13" s="1">
        <v>3.61</v>
      </c>
      <c r="Y13" s="169">
        <f>ROUND(MAX(IF(X13&gt;0,IF(X13&lt;SCORE!$J$64,300+((X13-SCORE!$J$64)*SCORE!$L$64),SCORE!$B$64*POWER((X13-SCORE!$C$64),SCORE!$D$64)),0),0),0)</f>
        <v>55</v>
      </c>
      <c r="Z13" s="14"/>
      <c r="AA13" s="1">
        <v>9.0500000000000007</v>
      </c>
      <c r="AB13" s="169">
        <f>ROUND(MAX(IF(AA13&gt;0,IF(AA13&lt;SCORE!$J$67,300+((AA13-SCORE!$J$67)*SCORE!$L$67),SCORE!$B$67*POWER((AA13-SCORE!$C$67),SCORE!$D$67)),0),0),0)</f>
        <v>39</v>
      </c>
    </row>
    <row r="14" spans="1:51" s="13" customFormat="1" ht="14.5" x14ac:dyDescent="0.25">
      <c r="A14" s="167">
        <f t="shared" si="1"/>
        <v>10</v>
      </c>
      <c r="B14" s="168" t="str">
        <f ca="1">IF(A14&lt;=$A$2,INDEX(Athletes!$B$2:$B$101,MATCH($B$2&amp;" - "&amp;A14,Athletes!$E$2:$E$101,0)),"")</f>
        <v>Sam McCrorie</v>
      </c>
      <c r="C14" s="169">
        <f ca="1">IF($A14&lt;=$A$2,INDEX(Athletes!$D$2:$D$101,MATCH($B$2&amp;" - "&amp;$A14,Athletes!$E$2:$E$101,0)),"")</f>
        <v>227</v>
      </c>
      <c r="D14" s="14"/>
      <c r="E14" s="135">
        <f t="shared" ca="1" si="0"/>
        <v>351</v>
      </c>
      <c r="F14" s="136">
        <f t="shared" ca="1" si="2"/>
        <v>12</v>
      </c>
      <c r="G14" s="14"/>
      <c r="H14" s="172">
        <v>17.8</v>
      </c>
      <c r="I14" s="169">
        <f>ROUND(MAX(IF(H14&gt;0,IF(H14&gt;SCORE!$J$6,300-((H14-SCORE!$J$6)*SCORE!$L$6+(SCORE!$Q$6*4)),IF(H14&gt;SCORE!$I$6,(SCORE!$F$6*POWER((SCORE!$G$6-H14),SCORE!$H$6)-(SCORE!$Q$6*10)),(SCORE!$B$6*POWER((SCORE!$C$6-H14),SCORE!$D$6))-SCORE!$Q$6*10)),0),0),0)</f>
        <v>55</v>
      </c>
      <c r="J14" s="14"/>
      <c r="K14" s="172">
        <v>63.6</v>
      </c>
      <c r="L14" s="169">
        <f>ROUND(MAX(IF(K14&gt;0,IF(K14&gt;SCORE!$J$8,300-((K14-SCORE!$J$8)*SCORE!$L$8),(SCORE!$B$8*POWER((SCORE!$C$8-K14),SCORE!$D$8))),0),0),0)</f>
        <v>58</v>
      </c>
      <c r="M14" s="14"/>
      <c r="N14" s="24">
        <v>3</v>
      </c>
      <c r="O14" s="173">
        <v>17.010000000000002</v>
      </c>
      <c r="P14" s="169">
        <f>ROUND(MAX(IF(N14&gt;0,IF((N14*60+O14)&gt;SCORE!$J$10,300-(((N14*60+O14)-SCORE!$J$10)*SCORE!$L$10),IF((N14*60+O14)&gt;SCORE!$I$10,SCORE!$F$10*POWER((SCORE!$G$10-(N14*60+O14)),SCORE!$H$10),SCORE!$B$10*POWER((SCORE!$C$10-(N14*60+O14)),SCORE!$D$10)))-(SCORE!$Q$10*6),0),0),0)</f>
        <v>68</v>
      </c>
      <c r="Q14" s="14"/>
      <c r="R14" s="1">
        <v>2.4</v>
      </c>
      <c r="S14" s="169">
        <f>ROUND(MAX(IF((R14*100)&gt;0,IF((R14*100)&lt;SCORE!$J$25,300+(((R14*100)-SCORE!$J$25)*SCORE!$L$25),IF((R14*100)&lt;SCORE!$I$25,SCORE!$F$25*POWER(((R14*100)-SCORE!$G$25),SCORE!$H$25),SCORE!$B$25*POWER(((R14*100)-SCORE!$C$25),SCORE!$D$25)))-(SCORE!$Q$25*6),0),0),0)</f>
        <v>73</v>
      </c>
      <c r="T14" s="14"/>
      <c r="U14" s="1"/>
      <c r="V14" s="169">
        <f>ROUND(MAX(IF(U14&gt;0,IF((U14*100)&lt;SCORE!$J$23,300+(((U14*100)-SCORE!$J$23)*SCORE!$L$23),IF((U14*100)&lt;SCORE!$I$23,SCORE!$F$23*POWER(((U14*100)-SCORE!$G$23),SCORE!$H$23),SCORE!$B$23*POWER(((U14*100)-SCORE!$C$23),SCORE!$D$23))),0),0),0)</f>
        <v>0</v>
      </c>
      <c r="W14" s="14"/>
      <c r="X14" s="1">
        <v>3.99</v>
      </c>
      <c r="Y14" s="169">
        <f>ROUND(MAX(IF(X14&gt;0,IF(X14&lt;SCORE!$J$64,300+((X14-SCORE!$J$64)*SCORE!$L$64),SCORE!$B$64*POWER((X14-SCORE!$C$64),SCORE!$D$64)),0),0),0)</f>
        <v>67</v>
      </c>
      <c r="Z14" s="14"/>
      <c r="AA14" s="1">
        <v>8.1199999999999992</v>
      </c>
      <c r="AB14" s="169">
        <f>ROUND(MAX(IF(AA14&gt;0,IF(AA14&lt;SCORE!$J$67,300+((AA14-SCORE!$J$67)*SCORE!$L$67),SCORE!$B$67*POWER((AA14-SCORE!$C$67),SCORE!$D$67)),0),0),0)</f>
        <v>30</v>
      </c>
    </row>
    <row r="15" spans="1:51" s="13" customFormat="1" ht="14.5" x14ac:dyDescent="0.25">
      <c r="A15" s="167">
        <v>11</v>
      </c>
      <c r="B15" s="168" t="str">
        <f ca="1">IF(A15&lt;=$A$2,INDEX(Athletes!$B$2:$B$101,MATCH($B$2&amp;" - "&amp;A15,Athletes!$E$2:$E$101,0)),"")</f>
        <v>Roddy Crean</v>
      </c>
      <c r="C15" s="169">
        <f ca="1">IF($A15&lt;=$A$2,INDEX(Athletes!$D$2:$D$101,MATCH($B$2&amp;" - "&amp;$A15,Athletes!$E$2:$E$101,0)),"")</f>
        <v>228</v>
      </c>
      <c r="D15" s="14"/>
      <c r="E15" s="135">
        <f t="shared" ca="1" si="0"/>
        <v>883</v>
      </c>
      <c r="F15" s="136">
        <f t="shared" ca="1" si="2"/>
        <v>5</v>
      </c>
      <c r="G15" s="14"/>
      <c r="H15" s="172">
        <v>16.38</v>
      </c>
      <c r="I15" s="169">
        <f>ROUND(MAX(IF(H15&gt;0,IF(H15&gt;SCORE!$J$6,300-((H15-SCORE!$J$6)*SCORE!$L$6+(SCORE!$Q$6*4)),IF(H15&gt;SCORE!$I$6,(SCORE!$F$6*POWER((SCORE!$G$6-H15),SCORE!$H$6)-(SCORE!$Q$6*10)),(SCORE!$B$6*POWER((SCORE!$C$6-H15),SCORE!$D$6))-SCORE!$Q$6*10)),0),0),0)</f>
        <v>120</v>
      </c>
      <c r="J15" s="14"/>
      <c r="K15" s="172">
        <v>50.7</v>
      </c>
      <c r="L15" s="169">
        <f>ROUND(MAX(IF(K15&gt;0,IF(K15&gt;SCORE!$J$8,300-((K15-SCORE!$J$8)*SCORE!$L$8),(SCORE!$B$8*POWER((SCORE!$C$8-K15),SCORE!$D$8))),0),0),0)</f>
        <v>198</v>
      </c>
      <c r="M15" s="14"/>
      <c r="N15" s="24">
        <v>2</v>
      </c>
      <c r="O15" s="173">
        <v>42.02</v>
      </c>
      <c r="P15" s="169">
        <f>ROUND(MAX(IF(N15&gt;0,IF((N15*60+O15)&gt;SCORE!$J$10,300-(((N15*60+O15)-SCORE!$J$10)*SCORE!$L$10),IF((N15*60+O15)&gt;SCORE!$I$10,SCORE!$F$10*POWER((SCORE!$G$10-(N15*60+O15)),SCORE!$H$10),SCORE!$B$10*POWER((SCORE!$C$10-(N15*60+O15)),SCORE!$D$10)))-(SCORE!$Q$10*6),0),0),0)</f>
        <v>201</v>
      </c>
      <c r="Q15" s="14"/>
      <c r="R15" s="1">
        <v>2.39</v>
      </c>
      <c r="S15" s="169">
        <f>ROUND(MAX(IF((R15*100)&gt;0,IF((R15*100)&lt;SCORE!$J$25,300+(((R15*100)-SCORE!$J$25)*SCORE!$L$25),IF((R15*100)&lt;SCORE!$I$25,SCORE!$F$25*POWER(((R15*100)-SCORE!$G$25),SCORE!$H$25),SCORE!$B$25*POWER(((R15*100)-SCORE!$C$25),SCORE!$D$25)))-(SCORE!$Q$25*6),0),0),0)</f>
        <v>72</v>
      </c>
      <c r="T15" s="14"/>
      <c r="U15" s="1">
        <v>0.9</v>
      </c>
      <c r="V15" s="169">
        <f>ROUND(MAX(IF(U15&gt;0,IF((U15*100)&lt;SCORE!$J$23,300+(((U15*100)-SCORE!$J$23)*SCORE!$L$23),IF((U15*100)&lt;SCORE!$I$23,SCORE!$F$23*POWER(((U15*100)-SCORE!$G$23),SCORE!$H$23),SCORE!$B$23*POWER(((U15*100)-SCORE!$C$23),SCORE!$D$23))),0),0),0)</f>
        <v>106</v>
      </c>
      <c r="W15" s="14"/>
      <c r="X15" s="1">
        <v>4.83</v>
      </c>
      <c r="Y15" s="169">
        <f>ROUND(MAX(IF(X15&gt;0,IF(X15&lt;SCORE!$J$64,300+((X15-SCORE!$J$64)*SCORE!$L$64),SCORE!$B$64*POWER((X15-SCORE!$C$64),SCORE!$D$64)),0),0),0)</f>
        <v>96</v>
      </c>
      <c r="Z15" s="14"/>
      <c r="AA15" s="1">
        <v>14.25</v>
      </c>
      <c r="AB15" s="169">
        <f>ROUND(MAX(IF(AA15&gt;0,IF(AA15&lt;SCORE!$J$67,300+((AA15-SCORE!$J$67)*SCORE!$L$67),SCORE!$B$67*POWER((AA15-SCORE!$C$67),SCORE!$D$67)),0),0),0)</f>
        <v>90</v>
      </c>
    </row>
    <row r="16" spans="1:51" s="13" customFormat="1" ht="14.5" x14ac:dyDescent="0.25">
      <c r="A16" s="167">
        <v>12</v>
      </c>
      <c r="B16" s="168" t="str">
        <f ca="1">IF(A16&lt;=$A$2,INDEX(Athletes!$B$2:$B$101,MATCH($B$2&amp;" - "&amp;A16,Athletes!$E$2:$E$101,0)),"")</f>
        <v>Daniel O'Brien</v>
      </c>
      <c r="C16" s="169">
        <f ca="1">IF($A16&lt;=$A$2,INDEX(Athletes!$D$2:$D$101,MATCH($B$2&amp;" - "&amp;$A16,Athletes!$E$2:$E$101,0)),"")</f>
        <v>229</v>
      </c>
      <c r="D16" s="14"/>
      <c r="E16" s="135">
        <f t="shared" ca="1" si="0"/>
        <v>1072</v>
      </c>
      <c r="F16" s="136">
        <f t="shared" ca="1" si="2"/>
        <v>3</v>
      </c>
      <c r="G16" s="14"/>
      <c r="H16" s="172">
        <v>15.67</v>
      </c>
      <c r="I16" s="169">
        <f>ROUND(MAX(IF(H16&gt;0,IF(H16&gt;SCORE!$J$6,300-((H16-SCORE!$J$6)*SCORE!$L$6+(SCORE!$Q$6*4)),IF(H16&gt;SCORE!$I$6,(SCORE!$F$6*POWER((SCORE!$G$6-H16),SCORE!$H$6)-(SCORE!$Q$6*10)),(SCORE!$B$6*POWER((SCORE!$C$6-H16),SCORE!$D$6))-SCORE!$Q$6*10)),0),0),0)</f>
        <v>153</v>
      </c>
      <c r="J16" s="14"/>
      <c r="K16" s="172">
        <v>51.08</v>
      </c>
      <c r="L16" s="169">
        <f>ROUND(MAX(IF(K16&gt;0,IF(K16&gt;SCORE!$J$8,300-((K16-SCORE!$J$8)*SCORE!$L$8),(SCORE!$B$8*POWER((SCORE!$C$8-K16),SCORE!$D$8))),0),0),0)</f>
        <v>194</v>
      </c>
      <c r="M16" s="14"/>
      <c r="N16" s="24">
        <v>2</v>
      </c>
      <c r="O16" s="173">
        <v>53.96</v>
      </c>
      <c r="P16" s="169">
        <f>ROUND(MAX(IF(N16&gt;0,IF((N16*60+O16)&gt;SCORE!$J$10,300-(((N16*60+O16)-SCORE!$J$10)*SCORE!$L$10),IF((N16*60+O16)&gt;SCORE!$I$10,SCORE!$F$10*POWER((SCORE!$G$10-(N16*60+O16)),SCORE!$H$10),SCORE!$B$10*POWER((SCORE!$C$10-(N16*60+O16)),SCORE!$D$10)))-(SCORE!$Q$10*6),0),0),0)</f>
        <v>156</v>
      </c>
      <c r="Q16" s="14"/>
      <c r="R16" s="1">
        <v>3.7</v>
      </c>
      <c r="S16" s="169">
        <f>ROUND(MAX(IF((R16*100)&gt;0,IF((R16*100)&lt;SCORE!$J$25,300+(((R16*100)-SCORE!$J$25)*SCORE!$L$25),IF((R16*100)&lt;SCORE!$I$25,SCORE!$F$25*POWER(((R16*100)-SCORE!$G$25),SCORE!$H$25),SCORE!$B$25*POWER(((R16*100)-SCORE!$C$25),SCORE!$D$25)))-(SCORE!$Q$25*6),0),0),0)</f>
        <v>184</v>
      </c>
      <c r="T16" s="14"/>
      <c r="U16" s="1">
        <v>1.05</v>
      </c>
      <c r="V16" s="169">
        <f>ROUND(MAX(IF(U16&gt;0,IF((U16*100)&lt;SCORE!$J$23,300+(((U16*100)-SCORE!$J$23)*SCORE!$L$23),IF((U16*100)&lt;SCORE!$I$23,SCORE!$F$23*POWER(((U16*100)-SCORE!$G$23),SCORE!$H$23),SCORE!$B$23*POWER(((U16*100)-SCORE!$C$23),SCORE!$D$23))),0),0),0)</f>
        <v>152</v>
      </c>
      <c r="W16" s="14"/>
      <c r="X16" s="1">
        <v>5.7</v>
      </c>
      <c r="Y16" s="169">
        <f>ROUND(MAX(IF(X16&gt;0,IF(X16&lt;SCORE!$J$64,300+((X16-SCORE!$J$64)*SCORE!$L$64),SCORE!$B$64*POWER((X16-SCORE!$C$64),SCORE!$D$64)),0),0),0)</f>
        <v>125</v>
      </c>
      <c r="Z16" s="14"/>
      <c r="AA16" s="1">
        <v>16.13</v>
      </c>
      <c r="AB16" s="169">
        <f>ROUND(MAX(IF(AA16&gt;0,IF(AA16&lt;SCORE!$J$67,300+((AA16-SCORE!$J$67)*SCORE!$L$67),SCORE!$B$67*POWER((AA16-SCORE!$C$67),SCORE!$D$67)),0),0),0)</f>
        <v>108</v>
      </c>
    </row>
    <row r="17" spans="1:28" s="13" customFormat="1" ht="14.5" x14ac:dyDescent="0.25">
      <c r="A17" s="167">
        <v>13</v>
      </c>
      <c r="B17" s="168" t="str">
        <f ca="1">IF(A17&lt;=$A$2,INDEX(Athletes!$B$2:$B$101,MATCH($B$2&amp;" - "&amp;A17,Athletes!$E$2:$E$101,0)),"")</f>
        <v>Euan Graham</v>
      </c>
      <c r="C17" s="169">
        <f ca="1">IF($A17&lt;=$A$2,INDEX(Athletes!$D$2:$D$101,MATCH($B$2&amp;" - "&amp;$A17,Athletes!$E$2:$E$101,0)),"")</f>
        <v>230</v>
      </c>
      <c r="D17" s="14"/>
      <c r="E17" s="135">
        <f t="shared" ca="1" si="0"/>
        <v>0</v>
      </c>
      <c r="F17" s="136">
        <f t="shared" ca="1" si="2"/>
        <v>13</v>
      </c>
      <c r="G17" s="14"/>
      <c r="H17" s="172"/>
      <c r="I17" s="169">
        <f>ROUND(MAX(IF(H17&gt;0,IF(H17&gt;SCORE!$J$6,300-((H17-SCORE!$J$6)*SCORE!$L$6+(SCORE!$Q$6*4)),IF(H17&gt;SCORE!$I$6,(SCORE!$F$6*POWER((SCORE!$G$6-H17),SCORE!$H$6)-(SCORE!$Q$6*10)),(SCORE!$B$6*POWER((SCORE!$C$6-H17),SCORE!$D$6))-SCORE!$Q$6*10)),0),0),0)</f>
        <v>0</v>
      </c>
      <c r="J17" s="14"/>
      <c r="K17" s="172"/>
      <c r="L17" s="169">
        <f>ROUND(MAX(IF(K17&gt;0,IF(K17&gt;SCORE!$J$8,300-((K17-SCORE!$J$8)*SCORE!$L$8),(SCORE!$B$8*POWER((SCORE!$C$8-K17),SCORE!$D$8))),0),0),0)</f>
        <v>0</v>
      </c>
      <c r="M17" s="14"/>
      <c r="N17" s="24"/>
      <c r="O17" s="173"/>
      <c r="P17" s="169">
        <f>ROUND(MAX(IF(N17&gt;0,IF((N17*60+O17)&gt;SCORE!$J$10,300-(((N17*60+O17)-SCORE!$J$10)*SCORE!$L$10),IF((N17*60+O17)&gt;SCORE!$I$10,SCORE!$F$10*POWER((SCORE!$G$10-(N17*60+O17)),SCORE!$H$10),SCORE!$B$10*POWER((SCORE!$C$10-(N17*60+O17)),SCORE!$D$10)))-(SCORE!$Q$10*6),0),0),0)</f>
        <v>0</v>
      </c>
      <c r="Q17" s="14"/>
      <c r="R17" s="1"/>
      <c r="S17" s="169">
        <f>ROUND(MAX(IF((R17*100)&gt;0,IF((R17*100)&lt;SCORE!$J$25,300+(((R17*100)-SCORE!$J$25)*SCORE!$L$25),IF((R17*100)&lt;SCORE!$I$25,SCORE!$F$25*POWER(((R17*100)-SCORE!$G$25),SCORE!$H$25),SCORE!$B$25*POWER(((R17*100)-SCORE!$C$25),SCORE!$D$25)))-(SCORE!$Q$25*6),0),0),0)</f>
        <v>0</v>
      </c>
      <c r="T17" s="14"/>
      <c r="U17" s="1"/>
      <c r="V17" s="169">
        <f>ROUND(MAX(IF(U17&gt;0,IF((U17*100)&lt;SCORE!$J$23,300+(((U17*100)-SCORE!$J$23)*SCORE!$L$23),IF((U17*100)&lt;SCORE!$I$23,SCORE!$F$23*POWER(((U17*100)-SCORE!$G$23),SCORE!$H$23),SCORE!$B$23*POWER(((U17*100)-SCORE!$C$23),SCORE!$D$23))),0),0),0)</f>
        <v>0</v>
      </c>
      <c r="W17" s="14"/>
      <c r="X17" s="1"/>
      <c r="Y17" s="169">
        <f>ROUND(MAX(IF(X17&gt;0,IF(X17&lt;SCORE!$J$64,300+((X17-SCORE!$J$64)*SCORE!$L$64),SCORE!$B$64*POWER((X17-SCORE!$C$64),SCORE!$D$64)),0),0),0)</f>
        <v>0</v>
      </c>
      <c r="Z17" s="14"/>
      <c r="AA17" s="1"/>
      <c r="AB17" s="169">
        <f>ROUND(MAX(IF(AA17&gt;0,IF(AA17&lt;SCORE!$J$67,300+((AA17-SCORE!$J$67)*SCORE!$L$67),SCORE!$B$67*POWER((AA17-SCORE!$C$67),SCORE!$D$67)),0),0),0)</f>
        <v>0</v>
      </c>
    </row>
    <row r="18" spans="1:28" s="13" customFormat="1" ht="14.5" x14ac:dyDescent="0.25">
      <c r="A18" s="167">
        <v>14</v>
      </c>
      <c r="B18" s="168" t="str">
        <f ca="1">IF(A18&lt;=$A$2,INDEX(Athletes!$B$2:$B$101,MATCH($B$2&amp;" - "&amp;A18,Athletes!$E$2:$E$101,0)),"")</f>
        <v>Fraser McIntyre</v>
      </c>
      <c r="C18" s="169">
        <f ca="1">IF($A18&lt;=$A$2,INDEX(Athletes!$D$2:$D$101,MATCH($B$2&amp;" - "&amp;$A18,Athletes!$E$2:$E$101,0)),"")</f>
        <v>231</v>
      </c>
      <c r="D18" s="14"/>
      <c r="E18" s="135">
        <f t="shared" ca="1" si="0"/>
        <v>505</v>
      </c>
      <c r="F18" s="136">
        <f t="shared" ca="1" si="2"/>
        <v>10</v>
      </c>
      <c r="G18" s="14"/>
      <c r="H18" s="172">
        <v>17.579999999999998</v>
      </c>
      <c r="I18" s="169">
        <f>ROUND(MAX(IF(H18&gt;0,IF(H18&gt;SCORE!$J$6,300-((H18-SCORE!$J$6)*SCORE!$L$6+(SCORE!$Q$6*4)),IF(H18&gt;SCORE!$I$6,(SCORE!$F$6*POWER((SCORE!$G$6-H18),SCORE!$H$6)-(SCORE!$Q$6*10)),(SCORE!$B$6*POWER((SCORE!$C$6-H18),SCORE!$D$6))-SCORE!$Q$6*10)),0),0),0)</f>
        <v>65</v>
      </c>
      <c r="J18" s="14"/>
      <c r="K18" s="172">
        <v>57.32</v>
      </c>
      <c r="L18" s="169">
        <f>ROUND(MAX(IF(K18&gt;0,IF(K18&gt;SCORE!$J$8,300-((K18-SCORE!$J$8)*SCORE!$L$8),(SCORE!$B$8*POWER((SCORE!$C$8-K18),SCORE!$D$8))),0),0),0)</f>
        <v>126</v>
      </c>
      <c r="M18" s="14"/>
      <c r="N18" s="24">
        <v>2</v>
      </c>
      <c r="O18" s="173">
        <v>47.08</v>
      </c>
      <c r="P18" s="169">
        <f>ROUND(MAX(IF(N18&gt;0,IF((N18*60+O18)&gt;SCORE!$J$10,300-(((N18*60+O18)-SCORE!$J$10)*SCORE!$L$10),IF((N18*60+O18)&gt;SCORE!$I$10,SCORE!$F$10*POWER((SCORE!$G$10-(N18*60+O18)),SCORE!$H$10),SCORE!$B$10*POWER((SCORE!$C$10-(N18*60+O18)),SCORE!$D$10)))-(SCORE!$Q$10*6),0),0),0)</f>
        <v>182</v>
      </c>
      <c r="Q18" s="14"/>
      <c r="R18" s="1">
        <v>2.8</v>
      </c>
      <c r="S18" s="169">
        <f>ROUND(MAX(IF((R18*100)&gt;0,IF((R18*100)&lt;SCORE!$J$25,300+(((R18*100)-SCORE!$J$25)*SCORE!$L$25),IF((R18*100)&lt;SCORE!$I$25,SCORE!$F$25*POWER(((R18*100)-SCORE!$G$25),SCORE!$H$25),SCORE!$B$25*POWER(((R18*100)-SCORE!$C$25),SCORE!$D$25)))-(SCORE!$Q$25*6),0),0),0)</f>
        <v>107</v>
      </c>
      <c r="T18" s="14"/>
      <c r="U18" s="1"/>
      <c r="V18" s="169">
        <f>ROUND(MAX(IF(U18&gt;0,IF((U18*100)&lt;SCORE!$J$23,300+(((U18*100)-SCORE!$J$23)*SCORE!$L$23),IF((U18*100)&lt;SCORE!$I$23,SCORE!$F$23*POWER(((U18*100)-SCORE!$G$23),SCORE!$H$23),SCORE!$B$23*POWER(((U18*100)-SCORE!$C$23),SCORE!$D$23))),0),0),0)</f>
        <v>0</v>
      </c>
      <c r="W18" s="14"/>
      <c r="X18" s="1">
        <v>2.75</v>
      </c>
      <c r="Y18" s="169">
        <f>ROUND(MAX(IF(X18&gt;0,IF(X18&lt;SCORE!$J$64,300+((X18-SCORE!$J$64)*SCORE!$L$64),SCORE!$B$64*POWER((X18-SCORE!$C$64),SCORE!$D$64)),0),0),0)</f>
        <v>25</v>
      </c>
      <c r="Z18" s="14"/>
      <c r="AA18" s="1">
        <v>5.03</v>
      </c>
      <c r="AB18" s="169">
        <f>ROUND(MAX(IF(AA18&gt;0,IF(AA18&lt;SCORE!$J$67,300+((AA18-SCORE!$J$67)*SCORE!$L$67),SCORE!$B$67*POWER((AA18-SCORE!$C$67),SCORE!$D$67)),0),0),0)</f>
        <v>0</v>
      </c>
    </row>
    <row r="19" spans="1:28" s="13" customFormat="1" ht="14.5" x14ac:dyDescent="0.25">
      <c r="A19" s="167">
        <v>15</v>
      </c>
      <c r="B19" s="168" t="str">
        <f ca="1">IF(A19&lt;=$A$2,INDEX(Athletes!$B$2:$B$101,MATCH($B$2&amp;" - "&amp;A19,Athletes!$E$2:$E$101,0)),"")</f>
        <v>Rory Kilpatrick</v>
      </c>
      <c r="C19" s="169">
        <f ca="1">IF($A19&lt;=$A$2,INDEX(Athletes!$D$2:$D$101,MATCH($B$2&amp;" - "&amp;$A19,Athletes!$E$2:$E$101,0)),"")</f>
        <v>232</v>
      </c>
      <c r="D19" s="14"/>
      <c r="E19" s="135">
        <f t="shared" ca="1" si="0"/>
        <v>604</v>
      </c>
      <c r="F19" s="136">
        <f t="shared" ca="1" si="2"/>
        <v>8</v>
      </c>
      <c r="G19" s="14"/>
      <c r="H19" s="172">
        <v>15.82</v>
      </c>
      <c r="I19" s="169">
        <f>ROUND(MAX(IF(H19&gt;0,IF(H19&gt;SCORE!$J$6,300-((H19-SCORE!$J$6)*SCORE!$L$6+(SCORE!$Q$6*4)),IF(H19&gt;SCORE!$I$6,(SCORE!$F$6*POWER((SCORE!$G$6-H19),SCORE!$H$6)-(SCORE!$Q$6*10)),(SCORE!$B$6*POWER((SCORE!$C$6-H19),SCORE!$D$6))-SCORE!$Q$6*10)),0),0),0)</f>
        <v>146</v>
      </c>
      <c r="J19" s="14"/>
      <c r="K19" s="172">
        <v>55.99</v>
      </c>
      <c r="L19" s="169">
        <f>ROUND(MAX(IF(K19&gt;0,IF(K19&gt;SCORE!$J$8,300-((K19-SCORE!$J$8)*SCORE!$L$8),(SCORE!$B$8*POWER((SCORE!$C$8-K19),SCORE!$D$8))),0),0),0)</f>
        <v>141</v>
      </c>
      <c r="M19" s="14"/>
      <c r="N19" s="24">
        <v>3</v>
      </c>
      <c r="O19" s="173">
        <v>27.01</v>
      </c>
      <c r="P19" s="169">
        <f>ROUND(MAX(IF(N19&gt;0,IF((N19*60+O19)&gt;SCORE!$J$10,300-(((N19*60+O19)-SCORE!$J$10)*SCORE!$L$10),IF((N19*60+O19)&gt;SCORE!$I$10,SCORE!$F$10*POWER((SCORE!$G$10-(N19*60+O19)),SCORE!$H$10),SCORE!$B$10*POWER((SCORE!$C$10-(N19*60+O19)),SCORE!$D$10)))-(SCORE!$Q$10*6),0),0),0)</f>
        <v>30</v>
      </c>
      <c r="Q19" s="14"/>
      <c r="R19" s="1">
        <v>3.55</v>
      </c>
      <c r="S19" s="169">
        <f>ROUND(MAX(IF((R19*100)&gt;0,IF((R19*100)&lt;SCORE!$J$25,300+(((R19*100)-SCORE!$J$25)*SCORE!$L$25),IF((R19*100)&lt;SCORE!$I$25,SCORE!$F$25*POWER(((R19*100)-SCORE!$G$25),SCORE!$H$25),SCORE!$B$25*POWER(((R19*100)-SCORE!$C$25),SCORE!$D$25)))-(SCORE!$Q$25*6),0),0),0)</f>
        <v>171</v>
      </c>
      <c r="T19" s="14"/>
      <c r="U19" s="1"/>
      <c r="V19" s="169">
        <f>ROUND(MAX(IF(U19&gt;0,IF((U19*100)&lt;SCORE!$J$23,300+(((U19*100)-SCORE!$J$23)*SCORE!$L$23),IF((U19*100)&lt;SCORE!$I$23,SCORE!$F$23*POWER(((U19*100)-SCORE!$G$23),SCORE!$H$23),SCORE!$B$23*POWER(((U19*100)-SCORE!$C$23),SCORE!$D$23))),0),0),0)</f>
        <v>0</v>
      </c>
      <c r="W19" s="14"/>
      <c r="X19" s="1">
        <v>5.14</v>
      </c>
      <c r="Y19" s="169">
        <f>ROUND(MAX(IF(X19&gt;0,IF(X19&lt;SCORE!$J$64,300+((X19-SCORE!$J$64)*SCORE!$L$64),SCORE!$B$64*POWER((X19-SCORE!$C$64),SCORE!$D$64)),0),0),0)</f>
        <v>106</v>
      </c>
      <c r="Z19" s="14"/>
      <c r="AA19" s="1">
        <v>6.06</v>
      </c>
      <c r="AB19" s="169">
        <f>ROUND(MAX(IF(AA19&gt;0,IF(AA19&lt;SCORE!$J$67,300+((AA19-SCORE!$J$67)*SCORE!$L$67),SCORE!$B$67*POWER((AA19-SCORE!$C$67),SCORE!$D$67)),0),0),0)</f>
        <v>10</v>
      </c>
    </row>
    <row r="20" spans="1:28" s="13" customFormat="1" ht="14.5" x14ac:dyDescent="0.25">
      <c r="A20" s="167">
        <f t="shared" si="1"/>
        <v>16</v>
      </c>
      <c r="B20" s="168" t="str">
        <f ca="1">IF(A20&lt;=$A$2,INDEX(Athletes!$B$2:$B$101,MATCH($B$2&amp;" - "&amp;A20,Athletes!$E$2:$E$101,0)),"")</f>
        <v/>
      </c>
      <c r="C20" s="169" t="str">
        <f ca="1">IF($A20&lt;=$A$2,INDEX(Athletes!$D$2:$D$101,MATCH($B$2&amp;" - "&amp;$A20,Athletes!$E$2:$E$101,0)),"")</f>
        <v/>
      </c>
      <c r="D20" s="14"/>
      <c r="E20" s="135">
        <f t="shared" ref="E20:E23" ca="1" si="3">IF(B20&lt;&gt;"",I20+L20+P20+S20+V20+Y20+AB20,0)</f>
        <v>0</v>
      </c>
      <c r="F20" s="136" t="str">
        <f t="shared" ca="1" si="2"/>
        <v/>
      </c>
      <c r="G20" s="14"/>
      <c r="H20" s="17"/>
      <c r="I20" s="169">
        <f>ROUND(MAX(IF(H20&gt;0,IF(H20&gt;SCORE!$J$6,300-((H20-SCORE!$J$6)*SCORE!$L$6+(SCORE!$Q$6*4)),IF(H20&gt;SCORE!$I$6,(SCORE!$F$6*POWER((SCORE!$G$6-H20),SCORE!$H$6)-(SCORE!$Q$6*10)),(SCORE!$B$6*POWER((SCORE!$C$6-H20),SCORE!$D$6))-SCORE!$Q$6*10)),0),0),0)</f>
        <v>0</v>
      </c>
      <c r="J20" s="14"/>
      <c r="K20" s="17"/>
      <c r="L20" s="169">
        <f>ROUND(MAX(IF(K20&gt;0,IF(K20&gt;SCORE!$J$8,300-((K20-SCORE!$J$8)*SCORE!$L$8),(SCORE!$B$8*POWER((SCORE!$C$8-K20),SCORE!$D$8))),0),0),0)</f>
        <v>0</v>
      </c>
      <c r="M20" s="14"/>
      <c r="N20" s="24"/>
      <c r="O20" s="25"/>
      <c r="P20" s="169">
        <f>ROUND(MAX(IF(N20&gt;0,IF((N20*60+O20)&gt;SCORE!$J$10,300-(((N20*60+O20)-SCORE!$J$10)*SCORE!$L$10),IF((N20*60+O20)&gt;SCORE!$I$10,SCORE!$F$10*POWER((SCORE!$G$10-(N20*60+O20)),SCORE!$H$10),SCORE!$B$10*POWER((SCORE!$C$10-(N20*60+O20)),SCORE!$D$10)))-(SCORE!$Q$10*6),0),0),0)</f>
        <v>0</v>
      </c>
      <c r="Q20" s="14"/>
      <c r="R20" s="1"/>
      <c r="S20" s="169">
        <f>ROUND(MAX(IF((R20*100)&gt;0,IF((R20*100)&lt;SCORE!$J$25,300+(((R20*100)-SCORE!$J$25)*SCORE!$L$25),IF((R20*100)&lt;SCORE!$I$25,SCORE!$F$25*POWER(((R20*100)-SCORE!$G$25),SCORE!$H$25),SCORE!$B$25*POWER(((R20*100)-SCORE!$C$25),SCORE!$D$25)))-(SCORE!$Q$25*6),0),0),0)</f>
        <v>0</v>
      </c>
      <c r="T20" s="14"/>
      <c r="U20" s="1"/>
      <c r="V20" s="169">
        <f>ROUND(MAX(IF(U20&gt;0,IF((U20*100)&lt;SCORE!$J$23,300+(((U20*100)-SCORE!$J$23)*SCORE!$L$23),IF((U20*100)&lt;SCORE!$I$23,SCORE!$F$23*POWER(((U20*100)-SCORE!$G$23),SCORE!$H$23),SCORE!$B$23*POWER(((U20*100)-SCORE!$C$23),SCORE!$D$23))),0),0),0)</f>
        <v>0</v>
      </c>
      <c r="W20" s="14"/>
      <c r="X20" s="1"/>
      <c r="Y20" s="169">
        <f>ROUND(MAX(IF(X20&gt;0,IF(X20&lt;SCORE!$J$64,300+((X20-SCORE!$J$64)*SCORE!$L$64),SCORE!$B$64*POWER((X20-SCORE!$C$64),SCORE!$D$64)),0),0),0)</f>
        <v>0</v>
      </c>
      <c r="Z20" s="14"/>
      <c r="AA20" s="1"/>
      <c r="AB20" s="169">
        <f>ROUND(MAX(IF(AA20&gt;0,IF(AA20&lt;SCORE!$J$67,300+((AA20-SCORE!$J$67)*SCORE!$L$67),SCORE!$B$67*POWER((AA20-SCORE!$C$67),SCORE!$D$67)),0),0),0)</f>
        <v>0</v>
      </c>
    </row>
    <row r="21" spans="1:28" s="13" customFormat="1" ht="14.5" x14ac:dyDescent="0.25">
      <c r="A21" s="167">
        <f t="shared" si="1"/>
        <v>17</v>
      </c>
      <c r="B21" s="168" t="str">
        <f ca="1">IF(A21&lt;=$A$2,INDEX(Athletes!$B$2:$B$101,MATCH($B$2&amp;" - "&amp;A21,Athletes!$E$2:$E$101,0)),"")</f>
        <v/>
      </c>
      <c r="C21" s="169" t="str">
        <f ca="1">IF($A21&lt;=$A$2,INDEX(Athletes!$D$2:$D$101,MATCH($B$2&amp;" - "&amp;$A21,Athletes!$E$2:$E$101,0)),"")</f>
        <v/>
      </c>
      <c r="D21" s="14"/>
      <c r="E21" s="135">
        <f t="shared" ca="1" si="3"/>
        <v>0</v>
      </c>
      <c r="F21" s="136" t="str">
        <f t="shared" ca="1" si="2"/>
        <v/>
      </c>
      <c r="G21" s="14"/>
      <c r="H21" s="17"/>
      <c r="I21" s="169">
        <f>ROUND(MAX(IF(H21&gt;0,IF(H21&gt;SCORE!$J$6,300-((H21-SCORE!$J$6)*SCORE!$L$6+(SCORE!$Q$6*4)),IF(H21&gt;SCORE!$I$6,(SCORE!$F$6*POWER((SCORE!$G$6-H21),SCORE!$H$6)-(SCORE!$Q$6*10)),(SCORE!$B$6*POWER((SCORE!$C$6-H21),SCORE!$D$6))-SCORE!$Q$6*10)),0),0),0)</f>
        <v>0</v>
      </c>
      <c r="J21" s="14"/>
      <c r="K21" s="17"/>
      <c r="L21" s="169">
        <f>ROUND(MAX(IF(K21&gt;0,IF(K21&gt;SCORE!$J$8,300-((K21-SCORE!$J$8)*SCORE!$L$8),(SCORE!$B$8*POWER((SCORE!$C$8-K21),SCORE!$D$8))),0),0),0)</f>
        <v>0</v>
      </c>
      <c r="M21" s="14"/>
      <c r="N21" s="24"/>
      <c r="O21" s="25"/>
      <c r="P21" s="169">
        <f>ROUND(MAX(IF(N21&gt;0,IF((N21*60+O21)&gt;SCORE!$J$10,300-(((N21*60+O21)-SCORE!$J$10)*SCORE!$L$10),IF((N21*60+O21)&gt;SCORE!$I$10,SCORE!$F$10*POWER((SCORE!$G$10-(N21*60+O21)),SCORE!$H$10),SCORE!$B$10*POWER((SCORE!$C$10-(N21*60+O21)),SCORE!$D$10)))-(SCORE!$Q$10*6),0),0),0)</f>
        <v>0</v>
      </c>
      <c r="Q21" s="14"/>
      <c r="R21" s="1"/>
      <c r="S21" s="169">
        <f>ROUND(MAX(IF((R21*100)&gt;0,IF((R21*100)&lt;SCORE!$J$25,300+(((R21*100)-SCORE!$J$25)*SCORE!$L$25),IF((R21*100)&lt;SCORE!$I$25,SCORE!$F$25*POWER(((R21*100)-SCORE!$G$25),SCORE!$H$25),SCORE!$B$25*POWER(((R21*100)-SCORE!$C$25),SCORE!$D$25)))-(SCORE!$Q$25*6),0),0),0)</f>
        <v>0</v>
      </c>
      <c r="T21" s="14"/>
      <c r="U21" s="1"/>
      <c r="V21" s="169">
        <f>ROUND(MAX(IF(U21&gt;0,IF((U21*100)&lt;SCORE!$J$23,300+(((U21*100)-SCORE!$J$23)*SCORE!$L$23),IF((U21*100)&lt;SCORE!$I$23,SCORE!$F$23*POWER(((U21*100)-SCORE!$G$23),SCORE!$H$23),SCORE!$B$23*POWER(((U21*100)-SCORE!$C$23),SCORE!$D$23))),0),0),0)</f>
        <v>0</v>
      </c>
      <c r="W21" s="14"/>
      <c r="X21" s="1"/>
      <c r="Y21" s="169">
        <f>ROUND(MAX(IF(X21&gt;0,IF(X21&lt;SCORE!$J$64,300+((X21-SCORE!$J$64)*SCORE!$L$64),SCORE!$B$64*POWER((X21-SCORE!$C$64),SCORE!$D$64)),0),0),0)</f>
        <v>0</v>
      </c>
      <c r="Z21" s="14"/>
      <c r="AA21" s="1"/>
      <c r="AB21" s="169">
        <f>ROUND(MAX(IF(AA21&gt;0,IF(AA21&lt;SCORE!$J$67,300+((AA21-SCORE!$J$67)*SCORE!$L$67),SCORE!$B$67*POWER((AA21-SCORE!$C$67),SCORE!$D$67)),0),0),0)</f>
        <v>0</v>
      </c>
    </row>
    <row r="22" spans="1:28" s="13" customFormat="1" ht="14.5" x14ac:dyDescent="0.25">
      <c r="A22" s="167">
        <f t="shared" si="1"/>
        <v>18</v>
      </c>
      <c r="B22" s="168" t="str">
        <f ca="1">IF(A22&lt;=$A$2,INDEX(Athletes!$B$2:$B$101,MATCH($B$2&amp;" - "&amp;A22,Athletes!$E$2:$E$101,0)),"")</f>
        <v/>
      </c>
      <c r="C22" s="169" t="str">
        <f ca="1">IF($A22&lt;=$A$2,INDEX(Athletes!$D$2:$D$101,MATCH($B$2&amp;" - "&amp;$A22,Athletes!$E$2:$E$101,0)),"")</f>
        <v/>
      </c>
      <c r="D22" s="14"/>
      <c r="E22" s="135">
        <f t="shared" ca="1" si="3"/>
        <v>0</v>
      </c>
      <c r="F22" s="136" t="str">
        <f t="shared" ca="1" si="2"/>
        <v/>
      </c>
      <c r="G22" s="14"/>
      <c r="H22" s="17"/>
      <c r="I22" s="169">
        <f>ROUND(MAX(IF(H22&gt;0,IF(H22&gt;SCORE!$J$6,300-((H22-SCORE!$J$6)*SCORE!$L$6+(SCORE!$Q$6*4)),IF(H22&gt;SCORE!$I$6,(SCORE!$F$6*POWER((SCORE!$G$6-H22),SCORE!$H$6)-(SCORE!$Q$6*10)),(SCORE!$B$6*POWER((SCORE!$C$6-H22),SCORE!$D$6))-SCORE!$Q$6*10)),0),0),0)</f>
        <v>0</v>
      </c>
      <c r="J22" s="14"/>
      <c r="K22" s="17"/>
      <c r="L22" s="169">
        <f>ROUND(MAX(IF(K22&gt;0,IF(K22&gt;SCORE!$J$8,300-((K22-SCORE!$J$8)*SCORE!$L$8),(SCORE!$B$8*POWER((SCORE!$C$8-K22),SCORE!$D$8))),0),0),0)</f>
        <v>0</v>
      </c>
      <c r="M22" s="14"/>
      <c r="N22" s="24"/>
      <c r="O22" s="25"/>
      <c r="P22" s="169">
        <f>ROUND(MAX(IF(N22&gt;0,IF((N22*60+O22)&gt;SCORE!$J$10,300-(((N22*60+O22)-SCORE!$J$10)*SCORE!$L$10),IF((N22*60+O22)&gt;SCORE!$I$10,SCORE!$F$10*POWER((SCORE!$G$10-(N22*60+O22)),SCORE!$H$10),SCORE!$B$10*POWER((SCORE!$C$10-(N22*60+O22)),SCORE!$D$10)))-(SCORE!$Q$10*6),0),0),0)</f>
        <v>0</v>
      </c>
      <c r="Q22" s="14"/>
      <c r="R22" s="1"/>
      <c r="S22" s="169">
        <f>ROUND(MAX(IF((R22*100)&gt;0,IF((R22*100)&lt;SCORE!$J$25,300+(((R22*100)-SCORE!$J$25)*SCORE!$L$25),IF((R22*100)&lt;SCORE!$I$25,SCORE!$F$25*POWER(((R22*100)-SCORE!$G$25),SCORE!$H$25),SCORE!$B$25*POWER(((R22*100)-SCORE!$C$25),SCORE!$D$25)))-(SCORE!$Q$25*6),0),0),0)</f>
        <v>0</v>
      </c>
      <c r="T22" s="14"/>
      <c r="U22" s="1"/>
      <c r="V22" s="169">
        <f>ROUND(MAX(IF(U22&gt;0,IF((U22*100)&lt;SCORE!$J$23,300+(((U22*100)-SCORE!$J$23)*SCORE!$L$23),IF((U22*100)&lt;SCORE!$I$23,SCORE!$F$23*POWER(((U22*100)-SCORE!$G$23),SCORE!$H$23),SCORE!$B$23*POWER(((U22*100)-SCORE!$C$23),SCORE!$D$23))),0),0),0)</f>
        <v>0</v>
      </c>
      <c r="W22" s="14"/>
      <c r="X22" s="1"/>
      <c r="Y22" s="169">
        <f>ROUND(MAX(IF(X22&gt;0,IF(X22&lt;SCORE!$J$64,300+((X22-SCORE!$J$64)*SCORE!$L$64),SCORE!$B$64*POWER((X22-SCORE!$C$64),SCORE!$D$64)),0),0),0)</f>
        <v>0</v>
      </c>
      <c r="Z22" s="14"/>
      <c r="AA22" s="1"/>
      <c r="AB22" s="169">
        <f>ROUND(MAX(IF(AA22&gt;0,IF(AA22&lt;SCORE!$J$67,300+((AA22-SCORE!$J$67)*SCORE!$L$67),SCORE!$B$67*POWER((AA22-SCORE!$C$67),SCORE!$D$67)),0),0),0)</f>
        <v>0</v>
      </c>
    </row>
    <row r="23" spans="1:28" s="13" customFormat="1" ht="15" thickBot="1" x14ac:dyDescent="0.3">
      <c r="A23" s="160">
        <f t="shared" si="1"/>
        <v>19</v>
      </c>
      <c r="B23" s="161" t="str">
        <f ca="1">IF(A23&lt;=$A$2,INDEX(Athletes!$B$2:$B$101,MATCH($B$2&amp;" - "&amp;A23,Athletes!$E$2:$E$101,0)),"")</f>
        <v/>
      </c>
      <c r="C23" s="162" t="str">
        <f ca="1">IF($A23&lt;=$A$2,INDEX(Athletes!$D$2:$D$101,MATCH($B$2&amp;" - "&amp;$A23,Athletes!$E$2:$E$101,0)),"")</f>
        <v/>
      </c>
      <c r="D23" s="14"/>
      <c r="E23" s="135">
        <f t="shared" ca="1" si="3"/>
        <v>0</v>
      </c>
      <c r="F23" s="136" t="str">
        <f t="shared" ca="1" si="2"/>
        <v/>
      </c>
      <c r="G23" s="14"/>
      <c r="H23" s="17"/>
      <c r="I23" s="162">
        <f>ROUND(MAX(IF(H23&gt;0,IF(H23&gt;SCORE!$J$6,300-((H23-SCORE!$J$6)*SCORE!$L$6+(SCORE!$Q$6*4)),IF(H23&gt;SCORE!$I$6,(SCORE!$F$6*POWER((SCORE!$G$6-H23),SCORE!$H$6)-(SCORE!$Q$6*10)),(SCORE!$B$6*POWER((SCORE!$C$6-H23),SCORE!$D$6))-SCORE!$Q$6*10)),0),0),0)</f>
        <v>0</v>
      </c>
      <c r="J23" s="14"/>
      <c r="K23" s="17"/>
      <c r="L23" s="162">
        <f>ROUND(MAX(IF(K23&gt;0,IF(K23&gt;SCORE!$J$8,300-((K23-SCORE!$J$8)*SCORE!$L$8),(SCORE!$B$8*POWER((SCORE!$C$8-K23),SCORE!$D$8))),0),0),0)</f>
        <v>0</v>
      </c>
      <c r="M23" s="14"/>
      <c r="N23" s="24"/>
      <c r="O23" s="25"/>
      <c r="P23" s="162">
        <f>ROUND(MAX(IF(N23&gt;0,IF((N23*60+O23)&gt;SCORE!$J$10,300-(((N23*60+O23)-SCORE!$J$10)*SCORE!$L$10),IF((N23*60+O23)&gt;SCORE!$I$10,SCORE!$F$10*POWER((SCORE!$G$10-(N23*60+O23)),SCORE!$H$10),SCORE!$B$10*POWER((SCORE!$C$10-(N23*60+O23)),SCORE!$D$10)))-(SCORE!$Q$10*6),0),0),0)</f>
        <v>0</v>
      </c>
      <c r="Q23" s="14"/>
      <c r="R23" s="1"/>
      <c r="S23" s="162">
        <f>ROUND(MAX(IF((R23*100)&gt;0,IF((R23*100)&lt;SCORE!$J$25,300+(((R23*100)-SCORE!$J$25)*SCORE!$L$25),IF((R23*100)&lt;SCORE!$I$25,SCORE!$F$25*POWER(((R23*100)-SCORE!$G$25),SCORE!$H$25),SCORE!$B$25*POWER(((R23*100)-SCORE!$C$25),SCORE!$D$25)))-(SCORE!$Q$25*6),0),0),0)</f>
        <v>0</v>
      </c>
      <c r="T23" s="14"/>
      <c r="U23" s="1"/>
      <c r="V23" s="162">
        <f>ROUND(MAX(IF(U23&gt;0,IF((U23*100)&lt;SCORE!$J$23,300+(((U23*100)-SCORE!$J$23)*SCORE!$L$23),IF((U23*100)&lt;SCORE!$I$23,SCORE!$F$23*POWER(((U23*100)-SCORE!$G$23),SCORE!$H$23),SCORE!$B$23*POWER(((U23*100)-SCORE!$C$23),SCORE!$D$23))),0),0),0)</f>
        <v>0</v>
      </c>
      <c r="W23" s="14"/>
      <c r="X23" s="1"/>
      <c r="Y23" s="162">
        <f>ROUND(MAX(IF(X23&gt;0,IF(X23&lt;SCORE!$J$64,300+((X23-SCORE!$J$64)*SCORE!$L$64),SCORE!$B$64*POWER((X23-SCORE!$C$64),SCORE!$D$64)),0),0),0)</f>
        <v>0</v>
      </c>
      <c r="Z23" s="14"/>
      <c r="AA23" s="1"/>
      <c r="AB23" s="162">
        <f>ROUND(MAX(IF(AA23&gt;0,IF(AA23&lt;SCORE!$J$67,300+((AA23-SCORE!$J$67)*SCORE!$L$67),SCORE!$B$67*POWER((AA23-SCORE!$C$67),SCORE!$D$67)),0),0),0)</f>
        <v>0</v>
      </c>
    </row>
  </sheetData>
  <dataConsolidate/>
  <mergeCells count="15">
    <mergeCell ref="Y3:Y4"/>
    <mergeCell ref="AA2:AB2"/>
    <mergeCell ref="AB3:AB4"/>
    <mergeCell ref="U2:V2"/>
    <mergeCell ref="V3:V4"/>
    <mergeCell ref="H2:I2"/>
    <mergeCell ref="K2:L2"/>
    <mergeCell ref="N2:P2"/>
    <mergeCell ref="R2:S2"/>
    <mergeCell ref="X2:Y2"/>
    <mergeCell ref="I3:I4"/>
    <mergeCell ref="L3:L4"/>
    <mergeCell ref="N3:O3"/>
    <mergeCell ref="P3:P4"/>
    <mergeCell ref="S3:S4"/>
  </mergeCells>
  <pageMargins left="0.74803149606299213" right="0.74803149606299213" top="0.51181102362204722" bottom="0.78740157480314965" header="0.51181102362204722" footer="0.51181102362204722"/>
  <pageSetup paperSize="9" scale="55" orientation="landscape" r:id="rId1"/>
  <headerFooter alignWithMargins="0">
    <oddFooter>&amp;L
&amp;A&amp;C
&amp;P&amp;R&amp;F
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rgb="FFFFFFCC"/>
    <outlinePr summaryBelow="0"/>
    <pageSetUpPr autoPageBreaks="0"/>
  </sheetPr>
  <dimension ref="A1:AB24"/>
  <sheetViews>
    <sheetView showGridLines="0" topLeftCell="B1" zoomScale="80" zoomScaleNormal="80" workbookViewId="0">
      <selection activeCell="U12" sqref="U12"/>
    </sheetView>
  </sheetViews>
  <sheetFormatPr defaultColWidth="9.1796875" defaultRowHeight="12.5" x14ac:dyDescent="0.25"/>
  <cols>
    <col min="1" max="1" width="10.7265625" style="13" customWidth="1"/>
    <col min="2" max="2" width="25.7265625" style="13" customWidth="1"/>
    <col min="3" max="3" width="10.7265625" style="13" customWidth="1"/>
    <col min="4" max="4" width="2.7265625" style="14" customWidth="1"/>
    <col min="5" max="5" width="10.7265625" style="13" customWidth="1"/>
    <col min="6" max="6" width="8.7265625" style="13" customWidth="1"/>
    <col min="7" max="7" width="2.7265625" style="14" customWidth="1"/>
    <col min="8" max="8" width="12.7265625" style="13" customWidth="1"/>
    <col min="9" max="9" width="9.1796875" style="13" customWidth="1"/>
    <col min="10" max="10" width="2.7265625" style="14" customWidth="1"/>
    <col min="11" max="11" width="12.7265625" style="13" customWidth="1"/>
    <col min="12" max="12" width="9.1796875" style="13" customWidth="1"/>
    <col min="13" max="13" width="2.7265625" style="14" customWidth="1"/>
    <col min="14" max="14" width="8.7265625" style="13" customWidth="1"/>
    <col min="15" max="15" width="10.7265625" style="13" customWidth="1"/>
    <col min="16" max="16" width="9.1796875" style="13" customWidth="1"/>
    <col min="17" max="17" width="2.7265625" style="14" customWidth="1"/>
    <col min="18" max="18" width="13.26953125" style="13" customWidth="1"/>
    <col min="19" max="19" width="9.1796875" style="13" customWidth="1"/>
    <col min="20" max="20" width="2.7265625" style="14" customWidth="1"/>
    <col min="21" max="21" width="13.26953125" style="13" customWidth="1"/>
    <col min="22" max="22" width="9.1796875" style="13" customWidth="1"/>
    <col min="23" max="23" width="2.7265625" style="14" customWidth="1"/>
    <col min="24" max="24" width="13.26953125" style="13" customWidth="1"/>
    <col min="25" max="25" width="9.1796875" style="13" customWidth="1"/>
    <col min="26" max="26" width="2.7265625" style="14" customWidth="1"/>
    <col min="27" max="27" width="13.26953125" style="13" customWidth="1"/>
    <col min="28" max="28" width="9.1796875" style="13" customWidth="1"/>
    <col min="29" max="16384" width="9.1796875" style="13"/>
  </cols>
  <sheetData>
    <row r="1" spans="1:28" s="14" customFormat="1" ht="13" thickBot="1" x14ac:dyDescent="0.3">
      <c r="I1" s="137"/>
    </row>
    <row r="2" spans="1:28" ht="15.5" x14ac:dyDescent="0.35">
      <c r="A2" s="23">
        <f ca="1">COUNTIF(Athletes!$C$2:$C$101,RIGHT(CELL("filename",A2),LEN(CELL("filename",A2))-FIND("]",CELL("filename",A2),1)))</f>
        <v>14</v>
      </c>
      <c r="B2" s="23" t="str">
        <f ca="1">RIGHT(CELL("filename",A2),LEN(CELL("filename",A2))-FIND("]",CELL("filename",A2),1))</f>
        <v>U15 - B</v>
      </c>
      <c r="C2" s="14"/>
      <c r="E2" s="14"/>
      <c r="F2" s="14"/>
      <c r="H2" s="176" t="s">
        <v>105</v>
      </c>
      <c r="I2" s="177"/>
      <c r="K2" s="176" t="s">
        <v>106</v>
      </c>
      <c r="L2" s="177"/>
      <c r="N2" s="176" t="s">
        <v>37</v>
      </c>
      <c r="O2" s="182"/>
      <c r="P2" s="177"/>
      <c r="R2" s="176" t="s">
        <v>22</v>
      </c>
      <c r="S2" s="177"/>
      <c r="U2" s="176" t="s">
        <v>21</v>
      </c>
      <c r="V2" s="177"/>
      <c r="X2" s="176" t="s">
        <v>34</v>
      </c>
      <c r="Y2" s="177"/>
      <c r="AA2" s="176" t="s">
        <v>24</v>
      </c>
      <c r="AB2" s="177"/>
    </row>
    <row r="3" spans="1:28" ht="15" customHeight="1" thickBot="1" x14ac:dyDescent="0.3">
      <c r="A3" s="14"/>
      <c r="B3" s="14"/>
      <c r="C3" s="14"/>
      <c r="E3" s="14"/>
      <c r="F3" s="14"/>
      <c r="H3" s="138" t="s">
        <v>18</v>
      </c>
      <c r="I3" s="178" t="s">
        <v>19</v>
      </c>
      <c r="K3" s="138" t="s">
        <v>18</v>
      </c>
      <c r="L3" s="178" t="s">
        <v>19</v>
      </c>
      <c r="N3" s="186" t="s">
        <v>18</v>
      </c>
      <c r="O3" s="187"/>
      <c r="P3" s="178" t="s">
        <v>19</v>
      </c>
      <c r="R3" s="138" t="s">
        <v>18</v>
      </c>
      <c r="S3" s="178" t="s">
        <v>19</v>
      </c>
      <c r="U3" s="138" t="s">
        <v>18</v>
      </c>
      <c r="V3" s="178" t="s">
        <v>19</v>
      </c>
      <c r="X3" s="138" t="s">
        <v>18</v>
      </c>
      <c r="Y3" s="178" t="s">
        <v>19</v>
      </c>
      <c r="AA3" s="138" t="s">
        <v>18</v>
      </c>
      <c r="AB3" s="178" t="s">
        <v>19</v>
      </c>
    </row>
    <row r="4" spans="1:28" ht="20.149999999999999" customHeight="1" x14ac:dyDescent="0.25">
      <c r="A4" s="19" t="s">
        <v>6</v>
      </c>
      <c r="B4" s="20" t="s">
        <v>3</v>
      </c>
      <c r="C4" s="21" t="s">
        <v>26</v>
      </c>
      <c r="E4" s="19" t="s">
        <v>27</v>
      </c>
      <c r="F4" s="21" t="s">
        <v>36</v>
      </c>
      <c r="H4" s="138" t="s">
        <v>32</v>
      </c>
      <c r="I4" s="178"/>
      <c r="K4" s="138" t="s">
        <v>32</v>
      </c>
      <c r="L4" s="178"/>
      <c r="N4" s="138" t="s">
        <v>33</v>
      </c>
      <c r="O4" s="139" t="s">
        <v>32</v>
      </c>
      <c r="P4" s="178"/>
      <c r="R4" s="138" t="s">
        <v>35</v>
      </c>
      <c r="S4" s="178"/>
      <c r="U4" s="138" t="s">
        <v>35</v>
      </c>
      <c r="V4" s="178"/>
      <c r="X4" s="138" t="s">
        <v>35</v>
      </c>
      <c r="Y4" s="178"/>
      <c r="AA4" s="138" t="s">
        <v>35</v>
      </c>
      <c r="AB4" s="178"/>
    </row>
    <row r="5" spans="1:28" ht="14.5" x14ac:dyDescent="0.25">
      <c r="A5" s="22">
        <v>1</v>
      </c>
      <c r="B5" s="11" t="str">
        <f ca="1">IF($A5&lt;=$A$2,INDEX(Athletes!$B$2:$B$101,MATCH($B$2&amp;" - "&amp;$A5,Athletes!$E$2:$E$101,0)),"")</f>
        <v>Jacob McLellan</v>
      </c>
      <c r="C5" s="18">
        <f ca="1">IF($A5&lt;=$A$2,INDEX(Athletes!$D$2:$D$101,MATCH($B$2&amp;" - "&amp;$A5,Athletes!$E$2:$E$101,0)),"")</f>
        <v>233</v>
      </c>
      <c r="E5" s="135">
        <f ca="1">IF(B5&lt;&gt;"",I5+L5+P5+S5+V5+Y5+AB5,0)</f>
        <v>1524</v>
      </c>
      <c r="F5" s="136">
        <f t="shared" ref="F5:F11" ca="1" si="0">IF(B5&lt;&gt;"",RANK(E5,$E$5:$E$23),"")</f>
        <v>2</v>
      </c>
      <c r="H5" s="172">
        <v>13.03</v>
      </c>
      <c r="I5" s="18">
        <f>ROUND(MAX(IF(H5&gt;0,IF(H5&gt;SCORE!$J$6,300-((H5-SCORE!$J$6)*SCORE!$L$6+(SCORE!$Q$6*4)),IF(H5&gt;SCORE!$I$6,(SCORE!$F$6*POWER((SCORE!$G$6-H5),SCORE!$H$6)-(SCORE!$Q$6*10)),(SCORE!$B$6*POWER((SCORE!$C$6-H5),SCORE!$D$6))-SCORE!$Q$6*10)),0),0),0)</f>
        <v>273</v>
      </c>
      <c r="K5" s="17">
        <v>61.98</v>
      </c>
      <c r="L5" s="18">
        <f>ROUND(MAX(IF(K5&gt;0,IF(K5&gt;SCORE!$J$9,300-((K5-SCORE!$J$9)*SCORE!$L$9),(SCORE!$B$9*POWER((SCORE!$C$9-K5),SCORE!$D$9))),0),0),0)</f>
        <v>259</v>
      </c>
      <c r="N5" s="24">
        <v>2</v>
      </c>
      <c r="O5" s="173">
        <v>42.35</v>
      </c>
      <c r="P5" s="18">
        <f>ROUND(MAX(IF(N5&gt;0,IF((N5*60+O5)&gt;SCORE!$J$10,300-(((N5*60+O5)-SCORE!$J$10)*SCORE!$L$10),IF((N5*60+O5)&gt;SCORE!$I$10,SCORE!$F$10*POWER((SCORE!$G$10-(N5*60+O5)),SCORE!$H$10),SCORE!$B$10*POWER((SCORE!$C$10-(N5*60+O5)),SCORE!$D$10)))-(SCORE!$Q$10*6),0),0),0)</f>
        <v>200</v>
      </c>
      <c r="R5" s="1">
        <v>4.3899999999999997</v>
      </c>
      <c r="S5" s="18">
        <f>ROUND(MAX(IF((R5*100)&gt;0,IF((R5*100)&lt;SCORE!$J$25,300+(((R5*100)-SCORE!$J$25)*SCORE!$L$25),IF((R5*100)&lt;SCORE!$I$25,SCORE!$F$25*POWER(((R5*100)-SCORE!$G$25),SCORE!$H$25),SCORE!$B$25*POWER(((R5*100)-SCORE!$C$25),SCORE!$D$25)))-(SCORE!$Q$25*6),0),0),0)</f>
        <v>243</v>
      </c>
      <c r="U5" s="1">
        <v>1.45</v>
      </c>
      <c r="V5" s="18">
        <f>ROUND(MAX(IF(U5&gt;0,IF((U5*100)&lt;SCORE!$J$23,300+(((U5*100)-SCORE!$J$23)*SCORE!$L$23),IF((U5*100)&lt;SCORE!$I$23,SCORE!$F$23*POWER(((U5*100)-SCORE!$G$23),SCORE!$H$23),SCORE!$B$23*POWER(((U5*100)-SCORE!$C$23),SCORE!$D$23))),0),0),0)</f>
        <v>273</v>
      </c>
      <c r="X5" s="1">
        <v>8.33</v>
      </c>
      <c r="Y5" s="18">
        <f>ROUND(MAX(IF(X5&gt;0,IF(X5&lt;SCORE!$J$55,300+((X5-SCORE!$J$55)*SCORE!$L$55),SCORE!$B$55*POWER((X5-SCORE!$C$55),SCORE!$D$55)),0),0),0)</f>
        <v>276</v>
      </c>
      <c r="AA5" s="1"/>
      <c r="AB5" s="18">
        <f>ROUND(MAX(IF(AA5&gt;0,IF(AA5&lt;SCORE!$J$58,300+((AA5-SCORE!$J$58)*SCORE!$L$58),SCORE!$B$58*POWER((AA5-SCORE!$C$58),SCORE!$D$58)),0),0),0)</f>
        <v>0</v>
      </c>
    </row>
    <row r="6" spans="1:28" ht="15" customHeight="1" x14ac:dyDescent="0.25">
      <c r="A6" s="22">
        <f>A5+1</f>
        <v>2</v>
      </c>
      <c r="B6" s="11" t="str">
        <f ca="1">IF(A6&lt;=$A$2,INDEX(Athletes!$B$2:$B$101,MATCH($B$2&amp;" - "&amp;A6,Athletes!$E$2:$E$101,0)),"")</f>
        <v>Danny Aitken</v>
      </c>
      <c r="C6" s="18">
        <f ca="1">IF($A6&lt;=$A$2,INDEX(Athletes!$D$2:$D$101,MATCH($B$2&amp;" - "&amp;$A6,Athletes!$E$2:$E$101,0)),"")</f>
        <v>234</v>
      </c>
      <c r="E6" s="135">
        <f t="shared" ref="E6:E20" ca="1" si="1">IF(B6&lt;&gt;"",I6+L6+P6+S6+V6+Y6+AB6,0)</f>
        <v>705</v>
      </c>
      <c r="F6" s="136">
        <f t="shared" ca="1" si="0"/>
        <v>13</v>
      </c>
      <c r="H6" s="172">
        <v>16.61</v>
      </c>
      <c r="I6" s="18">
        <f>ROUND(MAX(IF(H6&gt;0,IF(H6&gt;SCORE!$J$6,300-((H6-SCORE!$J$6)*SCORE!$L$6+(SCORE!$Q$6*4)),IF(H6&gt;SCORE!$I$6,(SCORE!$F$6*POWER((SCORE!$G$6-H6),SCORE!$H$6)-(SCORE!$Q$6*10)),(SCORE!$B$6*POWER((SCORE!$C$6-H6),SCORE!$D$6))-SCORE!$Q$6*10)),0),0),0)</f>
        <v>109</v>
      </c>
      <c r="K6" s="17">
        <v>89.77</v>
      </c>
      <c r="L6" s="18">
        <f>ROUND(MAX(IF(K6&gt;0,IF(K6&gt;SCORE!$J$9,300-((K6-SCORE!$J$9)*SCORE!$L$9),(SCORE!$B$9*POWER((SCORE!$C$9-K6),SCORE!$D$9))),0),0),0)</f>
        <v>2</v>
      </c>
      <c r="N6" s="24">
        <v>3</v>
      </c>
      <c r="O6" s="173">
        <v>46.6</v>
      </c>
      <c r="P6" s="18">
        <f>ROUND(MAX(IF(N6&gt;0,IF((N6*60+O6)&gt;SCORE!$J$10,300-(((N6*60+O6)-SCORE!$J$10)*SCORE!$L$10),IF((N6*60+O6)&gt;SCORE!$I$10,SCORE!$F$10*POWER((SCORE!$G$10-(N6*60+O6)),SCORE!$H$10),SCORE!$B$10*POWER((SCORE!$C$10-(N6*60+O6)),SCORE!$D$10)))-(SCORE!$Q$10*6),0),0),0)</f>
        <v>0</v>
      </c>
      <c r="R6" s="1">
        <v>2.76</v>
      </c>
      <c r="S6" s="18">
        <f>ROUND(MAX(IF((R6*100)&gt;0,IF((R6*100)&lt;SCORE!$J$25,300+(((R6*100)-SCORE!$J$25)*SCORE!$L$25),IF((R6*100)&lt;SCORE!$I$25,SCORE!$F$25*POWER(((R6*100)-SCORE!$G$25),SCORE!$H$25),SCORE!$B$25*POWER(((R6*100)-SCORE!$C$25),SCORE!$D$25)))-(SCORE!$Q$25*6),0),0),0)</f>
        <v>104</v>
      </c>
      <c r="U6" s="1">
        <v>1.25</v>
      </c>
      <c r="V6" s="18">
        <f>ROUND(MAX(IF(U6&gt;0,IF((U6*100)&lt;SCORE!$J$23,300+(((U6*100)-SCORE!$J$23)*SCORE!$L$23),IF((U6*100)&lt;SCORE!$I$23,SCORE!$F$23*POWER(((U6*100)-SCORE!$G$23),SCORE!$H$23),SCORE!$B$23*POWER(((U6*100)-SCORE!$C$23),SCORE!$D$23))),0),0),0)</f>
        <v>212</v>
      </c>
      <c r="X6" s="1">
        <v>5.65</v>
      </c>
      <c r="Y6" s="18">
        <f>ROUND(MAX(IF(X6&gt;0,IF(X6&lt;SCORE!$J$55,300+((X6-SCORE!$J$55)*SCORE!$L$55),SCORE!$B$55*POWER((X6-SCORE!$C$55),SCORE!$D$55)),0),0),0)</f>
        <v>159</v>
      </c>
      <c r="AA6" s="1">
        <v>13.37</v>
      </c>
      <c r="AB6" s="18">
        <f>ROUND(MAX(IF(AA6&gt;0,IF(AA6&lt;SCORE!$J$58,300+((AA6-SCORE!$J$58)*SCORE!$L$58),SCORE!$B$58*POWER((AA6-SCORE!$C$58),SCORE!$D$58)),0),0),0)</f>
        <v>119</v>
      </c>
    </row>
    <row r="7" spans="1:28" ht="14.5" x14ac:dyDescent="0.25">
      <c r="A7" s="22">
        <f t="shared" ref="A7:A24" si="2">A6+1</f>
        <v>3</v>
      </c>
      <c r="B7" s="11" t="str">
        <f ca="1">IF(A7&lt;=$A$2,INDEX(Athletes!$B$2:$B$101,MATCH($B$2&amp;" - "&amp;A7,Athletes!$E$2:$E$101,0)),"")</f>
        <v>Connor Lynch</v>
      </c>
      <c r="C7" s="18">
        <f ca="1">IF($A7&lt;=$A$2,INDEX(Athletes!$D$2:$D$101,MATCH($B$2&amp;" - "&amp;$A7,Athletes!$E$2:$E$101,0)),"")</f>
        <v>235</v>
      </c>
      <c r="E7" s="135">
        <f t="shared" ca="1" si="1"/>
        <v>1419</v>
      </c>
      <c r="F7" s="136">
        <f t="shared" ca="1" si="0"/>
        <v>4</v>
      </c>
      <c r="H7" s="172">
        <v>13.37</v>
      </c>
      <c r="I7" s="18">
        <f>ROUND(MAX(IF(H7&gt;0,IF(H7&gt;SCORE!$J$6,300-((H7-SCORE!$J$6)*SCORE!$L$6+(SCORE!$Q$6*4)),IF(H7&gt;SCORE!$I$6,(SCORE!$F$6*POWER((SCORE!$G$6-H7),SCORE!$H$6)-(SCORE!$Q$6*10)),(SCORE!$B$6*POWER((SCORE!$C$6-H7),SCORE!$D$6))-SCORE!$Q$6*10)),0),0),0)</f>
        <v>258</v>
      </c>
      <c r="K7" s="17">
        <v>62.47</v>
      </c>
      <c r="L7" s="18">
        <f>ROUND(MAX(IF(K7&gt;0,IF(K7&gt;SCORE!$J$9,300-((K7-SCORE!$J$9)*SCORE!$L$9),(SCORE!$B$9*POWER((SCORE!$C$9-K7),SCORE!$D$9))),0),0),0)</f>
        <v>255</v>
      </c>
      <c r="N7" s="24">
        <v>2</v>
      </c>
      <c r="O7" s="173">
        <v>38.51</v>
      </c>
      <c r="P7" s="18">
        <f>ROUND(MAX(IF(N7&gt;0,IF((N7*60+O7)&gt;SCORE!$J$10,300-(((N7*60+O7)-SCORE!$J$10)*SCORE!$L$10),IF((N7*60+O7)&gt;SCORE!$I$10,SCORE!$F$10*POWER((SCORE!$G$10-(N7*60+O7)),SCORE!$H$10),SCORE!$B$10*POWER((SCORE!$C$10-(N7*60+O7)),SCORE!$D$10)))-(SCORE!$Q$10*6),0),0),0)</f>
        <v>215</v>
      </c>
      <c r="R7" s="1">
        <v>4.16</v>
      </c>
      <c r="S7" s="18">
        <f>ROUND(MAX(IF((R7*100)&gt;0,IF((R7*100)&lt;SCORE!$J$25,300+(((R7*100)-SCORE!$J$25)*SCORE!$L$25),IF((R7*100)&lt;SCORE!$I$25,SCORE!$F$25*POWER(((R7*100)-SCORE!$G$25),SCORE!$H$25),SCORE!$B$25*POWER(((R7*100)-SCORE!$C$25),SCORE!$D$25)))-(SCORE!$Q$25*6),0),0),0)</f>
        <v>224</v>
      </c>
      <c r="U7" s="1">
        <v>1.4</v>
      </c>
      <c r="V7" s="18">
        <f>ROUND(MAX(IF(U7&gt;0,IF((U7*100)&lt;SCORE!$J$23,300+(((U7*100)-SCORE!$J$23)*SCORE!$L$23),IF((U7*100)&lt;SCORE!$I$23,SCORE!$F$23*POWER(((U7*100)-SCORE!$G$23),SCORE!$H$23),SCORE!$B$23*POWER(((U7*100)-SCORE!$C$23),SCORE!$D$23))),0),0),0)</f>
        <v>258</v>
      </c>
      <c r="X7" s="1">
        <v>5.14</v>
      </c>
      <c r="Y7" s="18">
        <f>ROUND(MAX(IF(X7&gt;0,IF(X7&lt;SCORE!$J$55,300+((X7-SCORE!$J$55)*SCORE!$L$55),SCORE!$B$55*POWER((X7-SCORE!$C$55),SCORE!$D$55)),0),0),0)</f>
        <v>137</v>
      </c>
      <c r="AA7" s="1">
        <v>10.039999999999999</v>
      </c>
      <c r="AB7" s="18">
        <f>ROUND(MAX(IF(AA7&gt;0,IF(AA7&lt;SCORE!$J$58,300+((AA7-SCORE!$J$58)*SCORE!$L$58),SCORE!$B$58*POWER((AA7-SCORE!$C$58),SCORE!$D$58)),0),0),0)</f>
        <v>72</v>
      </c>
    </row>
    <row r="8" spans="1:28" ht="14.5" x14ac:dyDescent="0.25">
      <c r="A8" s="22">
        <f t="shared" si="2"/>
        <v>4</v>
      </c>
      <c r="B8" s="11" t="str">
        <f ca="1">IF(A8&lt;=$A$2,INDEX(Athletes!$B$2:$B$101,MATCH($B$2&amp;" - "&amp;A8,Athletes!$E$2:$E$101,0)),"")</f>
        <v>Calum Hannah</v>
      </c>
      <c r="C8" s="18">
        <f ca="1">IF($A8&lt;=$A$2,INDEX(Athletes!$D$2:$D$101,MATCH($B$2&amp;" - "&amp;$A8,Athletes!$E$2:$E$101,0)),"")</f>
        <v>236</v>
      </c>
      <c r="E8" s="135">
        <f t="shared" ca="1" si="1"/>
        <v>848</v>
      </c>
      <c r="F8" s="136">
        <f t="shared" ca="1" si="0"/>
        <v>12</v>
      </c>
      <c r="H8" s="172">
        <v>16.010000000000002</v>
      </c>
      <c r="I8" s="18">
        <f>ROUND(MAX(IF(H8&gt;0,IF(H8&gt;SCORE!$J$6,300-((H8-SCORE!$J$6)*SCORE!$L$6+(SCORE!$Q$6*4)),IF(H8&gt;SCORE!$I$6,(SCORE!$F$6*POWER((SCORE!$G$6-H8),SCORE!$H$6)-(SCORE!$Q$6*10)),(SCORE!$B$6*POWER((SCORE!$C$6-H8),SCORE!$D$6))-SCORE!$Q$6*10)),0),0),0)</f>
        <v>137</v>
      </c>
      <c r="K8" s="17">
        <v>81.27</v>
      </c>
      <c r="L8" s="18">
        <f>ROUND(MAX(IF(K8&gt;0,IF(K8&gt;SCORE!$J$9,300-((K8-SCORE!$J$9)*SCORE!$L$9),(SCORE!$B$9*POWER((SCORE!$C$9-K8),SCORE!$D$9))),0),0),0)</f>
        <v>81</v>
      </c>
      <c r="N8" s="24"/>
      <c r="O8" s="173"/>
      <c r="P8" s="18">
        <f>ROUND(MAX(IF(N8&gt;0,IF((N8*60+O8)&gt;SCORE!$J$10,300-(((N8*60+O8)-SCORE!$J$10)*SCORE!$L$10),IF((N8*60+O8)&gt;SCORE!$I$10,SCORE!$F$10*POWER((SCORE!$G$10-(N8*60+O8)),SCORE!$H$10),SCORE!$B$10*POWER((SCORE!$C$10-(N8*60+O8)),SCORE!$D$10)))-(SCORE!$Q$10*6),0),0),0)</f>
        <v>0</v>
      </c>
      <c r="R8" s="1">
        <v>3.6</v>
      </c>
      <c r="S8" s="18">
        <f>ROUND(MAX(IF((R8*100)&gt;0,IF((R8*100)&lt;SCORE!$J$25,300+(((R8*100)-SCORE!$J$25)*SCORE!$L$25),IF((R8*100)&lt;SCORE!$I$25,SCORE!$F$25*POWER(((R8*100)-SCORE!$G$25),SCORE!$H$25),SCORE!$B$25*POWER(((R8*100)-SCORE!$C$25),SCORE!$D$25)))-(SCORE!$Q$25*6),0),0),0)</f>
        <v>176</v>
      </c>
      <c r="U8" s="1">
        <v>1.1000000000000001</v>
      </c>
      <c r="V8" s="18">
        <f>ROUND(MAX(IF(U8&gt;0,IF((U8*100)&lt;SCORE!$J$23,300+(((U8*100)-SCORE!$J$23)*SCORE!$L$23),IF((U8*100)&lt;SCORE!$I$23,SCORE!$F$23*POWER(((U8*100)-SCORE!$G$23),SCORE!$H$23),SCORE!$B$23*POWER(((U8*100)-SCORE!$C$23),SCORE!$D$23))),0),0),0)</f>
        <v>167</v>
      </c>
      <c r="X8" s="1">
        <v>4.16</v>
      </c>
      <c r="Y8" s="18">
        <f>ROUND(MAX(IF(X8&gt;0,IF(X8&lt;SCORE!$J$55,300+((X8-SCORE!$J$55)*SCORE!$L$55),SCORE!$B$55*POWER((X8-SCORE!$C$55),SCORE!$D$55)),0),0),0)</f>
        <v>94</v>
      </c>
      <c r="AA8" s="1">
        <v>18.54</v>
      </c>
      <c r="AB8" s="18">
        <f>ROUND(MAX(IF(AA8&gt;0,IF(AA8&lt;SCORE!$J$58,300+((AA8-SCORE!$J$58)*SCORE!$L$58),SCORE!$B$58*POWER((AA8-SCORE!$C$58),SCORE!$D$58)),0),0),0)</f>
        <v>193</v>
      </c>
    </row>
    <row r="9" spans="1:28" ht="14.5" x14ac:dyDescent="0.25">
      <c r="A9" s="22">
        <f>A8+1</f>
        <v>5</v>
      </c>
      <c r="B9" s="11" t="str">
        <f ca="1">IF(A9&lt;=$A$2,INDEX(Athletes!$B$2:$B$101,MATCH($B$2&amp;" - "&amp;A9,Athletes!$E$2:$E$101,0)),"")</f>
        <v>Jack McKinnon</v>
      </c>
      <c r="C9" s="18">
        <f ca="1">IF($A9&lt;=$A$2,INDEX(Athletes!$D$2:$D$101,MATCH($B$2&amp;" - "&amp;$A9,Athletes!$E$2:$E$101,0)),"")</f>
        <v>237</v>
      </c>
      <c r="E9" s="135">
        <f t="shared" ca="1" si="1"/>
        <v>1864</v>
      </c>
      <c r="F9" s="136">
        <f t="shared" ca="1" si="0"/>
        <v>1</v>
      </c>
      <c r="H9" s="172">
        <v>12.74</v>
      </c>
      <c r="I9" s="18">
        <f>ROUND(MAX(IF(H9&gt;0,IF(H9&gt;SCORE!$J$6,300-((H9-SCORE!$J$6)*SCORE!$L$6+(SCORE!$Q$6*4)),IF(H9&gt;SCORE!$I$6,(SCORE!$F$6*POWER((SCORE!$G$6-H9),SCORE!$H$6)-(SCORE!$Q$6*10)),(SCORE!$B$6*POWER((SCORE!$C$6-H9),SCORE!$D$6))-SCORE!$Q$6*10)),0),0),0)</f>
        <v>287</v>
      </c>
      <c r="K9" s="17">
        <v>58.42</v>
      </c>
      <c r="L9" s="18">
        <f>ROUND(MAX(IF(K9&gt;0,IF(K9&gt;SCORE!$J$9,300-((K9-SCORE!$J$9)*SCORE!$L$9),(SCORE!$B$9*POWER((SCORE!$C$9-K9),SCORE!$D$9))),0),0),0)</f>
        <v>292</v>
      </c>
      <c r="N9" s="24">
        <v>2</v>
      </c>
      <c r="O9" s="173">
        <v>22.13</v>
      </c>
      <c r="P9" s="18">
        <f>ROUND(MAX(IF(N9&gt;0,IF((N9*60+O9)&gt;SCORE!$J$10,300-(((N9*60+O9)-SCORE!$J$10)*SCORE!$L$10),IF((N9*60+O9)&gt;SCORE!$I$10,SCORE!$F$10*POWER((SCORE!$G$10-(N9*60+O9)),SCORE!$H$10),SCORE!$B$10*POWER((SCORE!$C$10-(N9*60+O9)),SCORE!$D$10)))-(SCORE!$Q$10*6),0),0),0)</f>
        <v>277</v>
      </c>
      <c r="R9" s="1">
        <v>4.72</v>
      </c>
      <c r="S9" s="18">
        <f>ROUND(MAX(IF((R9*100)&gt;0,IF((R9*100)&lt;SCORE!$J$25,300+(((R9*100)-SCORE!$J$25)*SCORE!$L$25),IF((R9*100)&lt;SCORE!$I$25,SCORE!$F$25*POWER(((R9*100)-SCORE!$G$25),SCORE!$H$25),SCORE!$B$25*POWER(((R9*100)-SCORE!$C$25),SCORE!$D$25)))-(SCORE!$Q$25*6),0),0),0)</f>
        <v>272</v>
      </c>
      <c r="U9" s="1">
        <v>1.4</v>
      </c>
      <c r="V9" s="18">
        <f>ROUND(MAX(IF(U9&gt;0,IF((U9*100)&lt;SCORE!$J$23,300+(((U9*100)-SCORE!$J$23)*SCORE!$L$23),IF((U9*100)&lt;SCORE!$I$23,SCORE!$F$23*POWER(((U9*100)-SCORE!$G$23),SCORE!$H$23),SCORE!$B$23*POWER(((U9*100)-SCORE!$C$23),SCORE!$D$23))),0),0),0)</f>
        <v>258</v>
      </c>
      <c r="X9" s="1">
        <v>7.87</v>
      </c>
      <c r="Y9" s="18">
        <f>ROUND(MAX(IF(X9&gt;0,IF(X9&lt;SCORE!$J$55,300+((X9-SCORE!$J$55)*SCORE!$L$55),SCORE!$B$55*POWER((X9-SCORE!$C$55),SCORE!$D$55)),0),0),0)</f>
        <v>256</v>
      </c>
      <c r="AA9" s="1">
        <v>20.6</v>
      </c>
      <c r="AB9" s="18">
        <f>ROUND(MAX(IF(AA9&gt;0,IF(AA9&lt;SCORE!$J$58,300+((AA9-SCORE!$J$58)*SCORE!$L$58),SCORE!$B$58*POWER((AA9-SCORE!$C$58),SCORE!$D$58)),0),0),0)</f>
        <v>222</v>
      </c>
    </row>
    <row r="10" spans="1:28" ht="14.5" x14ac:dyDescent="0.25">
      <c r="A10" s="22">
        <f t="shared" si="2"/>
        <v>6</v>
      </c>
      <c r="B10" s="11" t="str">
        <f ca="1">IF(A10&lt;=$A$2,INDEX(Athletes!$B$2:$B$101,MATCH($B$2&amp;" - "&amp;A10,Athletes!$E$2:$E$101,0)),"")</f>
        <v>Branden Dunlop</v>
      </c>
      <c r="C10" s="18">
        <f ca="1">IF($A10&lt;=$A$2,INDEX(Athletes!$D$2:$D$101,MATCH($B$2&amp;" - "&amp;$A10,Athletes!$E$2:$E$101,0)),"")</f>
        <v>238</v>
      </c>
      <c r="E10" s="135">
        <f t="shared" ca="1" si="1"/>
        <v>1404</v>
      </c>
      <c r="F10" s="136">
        <f t="shared" ca="1" si="0"/>
        <v>5</v>
      </c>
      <c r="H10" s="172">
        <v>12.76</v>
      </c>
      <c r="I10" s="18">
        <f>ROUND(MAX(IF(H10&gt;0,IF(H10&gt;SCORE!$J$6,300-((H10-SCORE!$J$6)*SCORE!$L$6+(SCORE!$Q$6*4)),IF(H10&gt;SCORE!$I$6,(SCORE!$F$6*POWER((SCORE!$G$6-H10),SCORE!$H$6)-(SCORE!$Q$6*10)),(SCORE!$B$6*POWER((SCORE!$C$6-H10),SCORE!$D$6))-SCORE!$Q$6*10)),0),0),0)</f>
        <v>286</v>
      </c>
      <c r="K10" s="17">
        <v>67.94</v>
      </c>
      <c r="L10" s="18">
        <f>ROUND(MAX(IF(K10&gt;0,IF(K10&gt;SCORE!$J$9,300-((K10-SCORE!$J$9)*SCORE!$L$9),(SCORE!$B$9*POWER((SCORE!$C$9-K10),SCORE!$D$9))),0),0),0)</f>
        <v>204</v>
      </c>
      <c r="N10" s="24">
        <v>3</v>
      </c>
      <c r="O10" s="173">
        <v>7.26</v>
      </c>
      <c r="P10" s="18">
        <f>ROUND(MAX(IF(N10&gt;0,IF((N10*60+O10)&gt;SCORE!$J$10,300-(((N10*60+O10)-SCORE!$J$10)*SCORE!$L$10),IF((N10*60+O10)&gt;SCORE!$I$10,SCORE!$F$10*POWER((SCORE!$G$10-(N10*60+O10)),SCORE!$H$10),SCORE!$B$10*POWER((SCORE!$C$10-(N10*60+O10)),SCORE!$D$10)))-(SCORE!$Q$10*6),0),0),0)</f>
        <v>105</v>
      </c>
      <c r="R10" s="1">
        <v>4.26</v>
      </c>
      <c r="S10" s="18">
        <f>ROUND(MAX(IF((R10*100)&gt;0,IF((R10*100)&lt;SCORE!$J$25,300+(((R10*100)-SCORE!$J$25)*SCORE!$L$25),IF((R10*100)&lt;SCORE!$I$25,SCORE!$F$25*POWER(((R10*100)-SCORE!$G$25),SCORE!$H$25),SCORE!$B$25*POWER(((R10*100)-SCORE!$C$25),SCORE!$D$25)))-(SCORE!$Q$25*6),0),0),0)</f>
        <v>232</v>
      </c>
      <c r="U10" s="1">
        <v>1.48</v>
      </c>
      <c r="V10" s="18">
        <f>ROUND(MAX(IF(U10&gt;0,IF((U10*100)&lt;SCORE!$J$23,300+(((U10*100)-SCORE!$J$23)*SCORE!$L$23),IF((U10*100)&lt;SCORE!$I$23,SCORE!$F$23*POWER(((U10*100)-SCORE!$G$23),SCORE!$H$23),SCORE!$B$23*POWER(((U10*100)-SCORE!$C$23),SCORE!$D$23))),0),0),0)</f>
        <v>282</v>
      </c>
      <c r="X10" s="1">
        <v>6.65</v>
      </c>
      <c r="Y10" s="18">
        <f>ROUND(MAX(IF(X10&gt;0,IF(X10&lt;SCORE!$J$55,300+((X10-SCORE!$J$55)*SCORE!$L$55),SCORE!$B$55*POWER((X10-SCORE!$C$55),SCORE!$D$55)),0),0),0)</f>
        <v>203</v>
      </c>
      <c r="AA10" s="1">
        <v>11.44</v>
      </c>
      <c r="AB10" s="18">
        <f>ROUND(MAX(IF(AA10&gt;0,IF(AA10&lt;SCORE!$J$58,300+((AA10-SCORE!$J$58)*SCORE!$L$58),SCORE!$B$58*POWER((AA10-SCORE!$C$58),SCORE!$D$58)),0),0),0)</f>
        <v>92</v>
      </c>
    </row>
    <row r="11" spans="1:28" ht="14.5" x14ac:dyDescent="0.25">
      <c r="A11" s="22">
        <f t="shared" si="2"/>
        <v>7</v>
      </c>
      <c r="B11" s="11" t="str">
        <f ca="1">IF(A11&lt;=$A$2,INDEX(Athletes!$B$2:$B$101,MATCH($B$2&amp;" - "&amp;A11,Athletes!$E$2:$E$101,0)),"")</f>
        <v>Evan Kelly</v>
      </c>
      <c r="C11" s="18">
        <f ca="1">IF($A11&lt;=$A$2,INDEX(Athletes!$D$2:$D$101,MATCH($B$2&amp;" - "&amp;$A11,Athletes!$E$2:$E$101,0)),"")</f>
        <v>239</v>
      </c>
      <c r="E11" s="135">
        <f t="shared" ca="1" si="1"/>
        <v>1376</v>
      </c>
      <c r="F11" s="136">
        <f t="shared" ca="1" si="0"/>
        <v>6</v>
      </c>
      <c r="H11" s="172">
        <v>14.42</v>
      </c>
      <c r="I11" s="18">
        <f>ROUND(MAX(IF(H11&gt;0,IF(H11&gt;SCORE!$J$6,300-((H11-SCORE!$J$6)*SCORE!$L$6+(SCORE!$Q$6*4)),IF(H11&gt;SCORE!$I$6,(SCORE!$F$6*POWER((SCORE!$G$6-H11),SCORE!$H$6)-(SCORE!$Q$6*10)),(SCORE!$B$6*POWER((SCORE!$C$6-H11),SCORE!$D$6))-SCORE!$Q$6*10)),0),0),0)</f>
        <v>210</v>
      </c>
      <c r="K11" s="17">
        <v>62.73</v>
      </c>
      <c r="L11" s="18">
        <f>ROUND(MAX(IF(K11&gt;0,IF(K11&gt;SCORE!$J$9,300-((K11-SCORE!$J$9)*SCORE!$L$9),(SCORE!$B$9*POWER((SCORE!$C$9-K11),SCORE!$D$9))),0),0),0)</f>
        <v>252</v>
      </c>
      <c r="N11" s="24">
        <v>2</v>
      </c>
      <c r="O11" s="173">
        <v>27.29</v>
      </c>
      <c r="P11" s="18">
        <f>ROUND(MAX(IF(N11&gt;0,IF((N11*60+O11)&gt;SCORE!$J$10,300-(((N11*60+O11)-SCORE!$J$10)*SCORE!$L$10),IF((N11*60+O11)&gt;SCORE!$I$10,SCORE!$F$10*POWER((SCORE!$G$10-(N11*60+O11)),SCORE!$H$10),SCORE!$B$10*POWER((SCORE!$C$10-(N11*60+O11)),SCORE!$D$10)))-(SCORE!$Q$10*6),0),0),0)</f>
        <v>257</v>
      </c>
      <c r="R11" s="1">
        <v>3.96</v>
      </c>
      <c r="S11" s="18">
        <f>ROUND(MAX(IF((R11*100)&gt;0,IF((R11*100)&lt;SCORE!$J$25,300+(((R11*100)-SCORE!$J$25)*SCORE!$L$25),IF((R11*100)&lt;SCORE!$I$25,SCORE!$F$25*POWER(((R11*100)-SCORE!$G$25),SCORE!$H$25),SCORE!$B$25*POWER(((R11*100)-SCORE!$C$25),SCORE!$D$25)))-(SCORE!$Q$25*6),0),0),0)</f>
        <v>207</v>
      </c>
      <c r="U11" s="1">
        <v>1.3</v>
      </c>
      <c r="V11" s="18">
        <f>ROUND(MAX(IF(U11&gt;0,IF((U11*100)&lt;SCORE!$J$23,300+(((U11*100)-SCORE!$J$23)*SCORE!$L$23),IF((U11*100)&lt;SCORE!$I$23,SCORE!$F$23*POWER(((U11*100)-SCORE!$G$23),SCORE!$H$23),SCORE!$B$23*POWER(((U11*100)-SCORE!$C$23),SCORE!$D$23))),0),0),0)</f>
        <v>227</v>
      </c>
      <c r="X11" s="1">
        <v>4.8499999999999996</v>
      </c>
      <c r="Y11" s="18">
        <f>ROUND(MAX(IF(X11&gt;0,IF(X11&lt;SCORE!$J$55,300+((X11-SCORE!$J$55)*SCORE!$L$55),SCORE!$B$55*POWER((X11-SCORE!$C$55),SCORE!$D$55)),0),0),0)</f>
        <v>124</v>
      </c>
      <c r="AA11" s="1">
        <v>11.93</v>
      </c>
      <c r="AB11" s="18">
        <f>ROUND(MAX(IF(AA11&gt;0,IF(AA11&lt;SCORE!$J$58,300+((AA11-SCORE!$J$58)*SCORE!$L$58),SCORE!$B$58*POWER((AA11-SCORE!$C$58),SCORE!$D$58)),0),0),0)</f>
        <v>99</v>
      </c>
    </row>
    <row r="12" spans="1:28" ht="14.5" x14ac:dyDescent="0.25">
      <c r="A12" s="22">
        <v>8</v>
      </c>
      <c r="B12" s="11" t="str">
        <f ca="1">IF(A12&lt;=$A$2,INDEX(Athletes!$B$2:$B$101,MATCH($B$2&amp;" - "&amp;A12,Athletes!$E$2:$E$101,0)),"")</f>
        <v>Joshua Mirtle</v>
      </c>
      <c r="C12" s="18">
        <f ca="1">IF($A12&lt;=$A$2,INDEX(Athletes!$D$2:$D$101,MATCH($B$2&amp;" - "&amp;$A12,Athletes!$E$2:$E$101,0)),"")</f>
        <v>240</v>
      </c>
      <c r="E12" s="135">
        <f t="shared" ca="1" si="1"/>
        <v>1088</v>
      </c>
      <c r="F12" s="136">
        <f t="shared" ref="F12:F24" ca="1" si="3">IF(B12&lt;&gt;"",RANK(E12,$E$5:$E$23),"")</f>
        <v>11</v>
      </c>
      <c r="H12" s="172">
        <v>15.43</v>
      </c>
      <c r="I12" s="18">
        <f>ROUND(MAX(IF(H12&gt;0,IF(H12&gt;SCORE!$J$6,300-((H12-SCORE!$J$6)*SCORE!$L$6+(SCORE!$Q$6*4)),IF(H12&gt;SCORE!$I$6,(SCORE!$F$6*POWER((SCORE!$G$6-H12),SCORE!$H$6)-(SCORE!$Q$6*10)),(SCORE!$B$6*POWER((SCORE!$C$6-H12),SCORE!$D$6))-SCORE!$Q$6*10)),0),0),0)</f>
        <v>164</v>
      </c>
      <c r="K12" s="17">
        <v>70.819999999999993</v>
      </c>
      <c r="L12" s="18">
        <f>ROUND(MAX(IF(K12&gt;0,IF(K12&gt;SCORE!$J$9,300-((K12-SCORE!$J$9)*SCORE!$L$9),(SCORE!$B$9*POWER((SCORE!$C$9-K12),SCORE!$D$9))),0),0),0)</f>
        <v>177</v>
      </c>
      <c r="N12" s="24">
        <v>2</v>
      </c>
      <c r="O12" s="173">
        <v>37.47</v>
      </c>
      <c r="P12" s="18">
        <f>ROUND(MAX(IF(N12&gt;0,IF((N12*60+O12)&gt;SCORE!$J$10,300-(((N12*60+O12)-SCORE!$J$10)*SCORE!$L$10),IF((N12*60+O12)&gt;SCORE!$I$10,SCORE!$F$10*POWER((SCORE!$G$10-(N12*60+O12)),SCORE!$H$10),SCORE!$B$10*POWER((SCORE!$C$10-(N12*60+O12)),SCORE!$D$10)))-(SCORE!$Q$10*6),0),0),0)</f>
        <v>218</v>
      </c>
      <c r="R12" s="1">
        <v>3.36</v>
      </c>
      <c r="S12" s="18">
        <f>ROUND(MAX(IF((R12*100)&gt;0,IF((R12*100)&lt;SCORE!$J$25,300+(((R12*100)-SCORE!$J$25)*SCORE!$L$25),IF((R12*100)&lt;SCORE!$I$25,SCORE!$F$25*POWER(((R12*100)-SCORE!$G$25),SCORE!$H$25),SCORE!$B$25*POWER(((R12*100)-SCORE!$C$25),SCORE!$D$25)))-(SCORE!$Q$25*6),0),0),0)</f>
        <v>155</v>
      </c>
      <c r="U12" s="1">
        <v>1.2</v>
      </c>
      <c r="V12" s="18">
        <f>ROUND(MAX(IF(U12&gt;0,IF((U12*100)&lt;SCORE!$J$23,300+(((U12*100)-SCORE!$J$23)*SCORE!$L$23),IF((U12*100)&lt;SCORE!$I$23,SCORE!$F$23*POWER(((U12*100)-SCORE!$G$23),SCORE!$H$23),SCORE!$B$23*POWER(((U12*100)-SCORE!$C$23),SCORE!$D$23))),0),0),0)</f>
        <v>197</v>
      </c>
      <c r="X12" s="1">
        <v>4.2300000000000004</v>
      </c>
      <c r="Y12" s="18">
        <f>ROUND(MAX(IF(X12&gt;0,IF(X12&lt;SCORE!$J$55,300+((X12-SCORE!$J$55)*SCORE!$L$55),SCORE!$B$55*POWER((X12-SCORE!$C$55),SCORE!$D$55)),0),0),0)</f>
        <v>97</v>
      </c>
      <c r="AA12" s="1">
        <v>10.6</v>
      </c>
      <c r="AB12" s="18">
        <f>ROUND(MAX(IF(AA12&gt;0,IF(AA12&lt;SCORE!$J$58,300+((AA12-SCORE!$J$58)*SCORE!$L$58),SCORE!$B$58*POWER((AA12-SCORE!$C$58),SCORE!$D$58)),0),0),0)</f>
        <v>80</v>
      </c>
    </row>
    <row r="13" spans="1:28" ht="14.5" x14ac:dyDescent="0.25">
      <c r="A13" s="22">
        <v>9</v>
      </c>
      <c r="B13" s="11" t="str">
        <f ca="1">IF(A13&lt;=$A$2,INDEX(Athletes!$B$2:$B$101,MATCH($B$2&amp;" - "&amp;A13,Athletes!$E$2:$E$101,0)),"")</f>
        <v>Ethan Polson</v>
      </c>
      <c r="C13" s="18">
        <f ca="1">IF($A13&lt;=$A$2,INDEX(Athletes!$D$2:$D$101,MATCH($B$2&amp;" - "&amp;$A13,Athletes!$E$2:$E$101,0)),"")</f>
        <v>267</v>
      </c>
      <c r="E13" s="135">
        <f ca="1">IF(B13&lt;&gt;"",I13+L13+P13+S13+V13+Y13+AB13,0)</f>
        <v>1282</v>
      </c>
      <c r="F13" s="136">
        <f t="shared" ca="1" si="3"/>
        <v>8</v>
      </c>
      <c r="H13" s="172">
        <v>14.32</v>
      </c>
      <c r="I13" s="18">
        <f>ROUND(MAX(IF(H13&gt;0,IF(H13&gt;SCORE!$J$6,300-((H13-SCORE!$J$6)*SCORE!$L$6+(SCORE!$Q$6*4)),IF(H13&gt;SCORE!$I$6,(SCORE!$F$6*POWER((SCORE!$G$6-H13),SCORE!$H$6)-(SCORE!$Q$6*10)),(SCORE!$B$6*POWER((SCORE!$C$6-H13),SCORE!$D$6))-SCORE!$Q$6*10)),0),0),0)</f>
        <v>214</v>
      </c>
      <c r="K13" s="17">
        <v>62.98</v>
      </c>
      <c r="L13" s="18">
        <f>ROUND(MAX(IF(K13&gt;0,IF(K13&gt;SCORE!$J$9,300-((K13-SCORE!$J$9)*SCORE!$L$9),(SCORE!$B$9*POWER((SCORE!$C$9-K13),SCORE!$D$9))),0),0),0)</f>
        <v>250</v>
      </c>
      <c r="N13" s="24">
        <v>2</v>
      </c>
      <c r="O13" s="173">
        <v>20.8</v>
      </c>
      <c r="P13" s="18">
        <f>ROUND(MAX(IF(N13&gt;0,IF((N13*60+O13)&gt;SCORE!$J$10,300-(((N13*60+O13)-SCORE!$J$10)*SCORE!$L$10),IF((N13*60+O13)&gt;SCORE!$I$10,SCORE!$F$10*POWER((SCORE!$G$10-(N13*60+O13)),SCORE!$H$10),SCORE!$B$10*POWER((SCORE!$C$10-(N13*60+O13)),SCORE!$D$10)))-(SCORE!$Q$10*6),0),0),0)</f>
        <v>282</v>
      </c>
      <c r="R13" s="1">
        <v>3.24</v>
      </c>
      <c r="S13" s="18">
        <f>ROUND(MAX(IF((R13*100)&gt;0,IF((R13*100)&lt;SCORE!$J$25,300+(((R13*100)-SCORE!$J$25)*SCORE!$L$25),IF((R13*100)&lt;SCORE!$I$25,SCORE!$F$25*POWER(((R13*100)-SCORE!$G$25),SCORE!$H$25),SCORE!$B$25*POWER(((R13*100)-SCORE!$C$25),SCORE!$D$25)))-(SCORE!$Q$25*6),0),0),0)</f>
        <v>145</v>
      </c>
      <c r="U13" s="1">
        <v>1.2</v>
      </c>
      <c r="V13" s="18">
        <f>ROUND(MAX(IF(U13&gt;0,IF((U13*100)&lt;SCORE!$J$23,300+(((U13*100)-SCORE!$J$23)*SCORE!$L$23),IF((U13*100)&lt;SCORE!$I$23,SCORE!$F$23*POWER(((U13*100)-SCORE!$G$23),SCORE!$H$23),SCORE!$B$23*POWER(((U13*100)-SCORE!$C$23),SCORE!$D$23))),0),0),0)</f>
        <v>197</v>
      </c>
      <c r="X13" s="1">
        <v>4.7699999999999996</v>
      </c>
      <c r="Y13" s="18">
        <f>ROUND(MAX(IF(X13&gt;0,IF(X13&lt;SCORE!$J$55,300+((X13-SCORE!$J$55)*SCORE!$L$55),SCORE!$B$55*POWER((X13-SCORE!$C$55),SCORE!$D$55)),0),0),0)</f>
        <v>121</v>
      </c>
      <c r="AA13" s="1">
        <v>10.11</v>
      </c>
      <c r="AB13" s="18">
        <f>ROUND(MAX(IF(AA13&gt;0,IF(AA13&lt;SCORE!$J$58,300+((AA13-SCORE!$J$58)*SCORE!$L$58),SCORE!$B$58*POWER((AA13-SCORE!$C$58),SCORE!$D$58)),0),0),0)</f>
        <v>73</v>
      </c>
    </row>
    <row r="14" spans="1:28" ht="14.5" x14ac:dyDescent="0.25">
      <c r="A14" s="22">
        <v>10</v>
      </c>
      <c r="B14" s="11" t="str">
        <f ca="1">IF(A14&lt;=$A$2,INDEX(Athletes!$B$2:$B$101,MATCH($B$2&amp;" - "&amp;A14,Athletes!$E$2:$E$101,0)),"")</f>
        <v>Gregor Alexander</v>
      </c>
      <c r="C14" s="18">
        <f ca="1">IF($A14&lt;=$A$2,INDEX(Athletes!$D$2:$D$101,MATCH($B$2&amp;" - "&amp;$A14,Athletes!$E$2:$E$101,0)),"")</f>
        <v>242</v>
      </c>
      <c r="E14" s="135">
        <f ca="1">IF(B14&lt;&gt;"",I14+L14+P14+S14+V14+Y14+AB14,0)</f>
        <v>1137</v>
      </c>
      <c r="F14" s="136">
        <f t="shared" ca="1" si="3"/>
        <v>10</v>
      </c>
      <c r="H14" s="172">
        <v>14.51</v>
      </c>
      <c r="I14" s="18">
        <f>ROUND(MAX(IF(H14&gt;0,IF(H14&gt;SCORE!$J$6,300-((H14-SCORE!$J$6)*SCORE!$L$6+(SCORE!$Q$6*4)),IF(H14&gt;SCORE!$I$6,(SCORE!$F$6*POWER((SCORE!$G$6-H14),SCORE!$H$6)-(SCORE!$Q$6*10)),(SCORE!$B$6*POWER((SCORE!$C$6-H14),SCORE!$D$6))-SCORE!$Q$6*10)),0),0),0)</f>
        <v>206</v>
      </c>
      <c r="K14" s="17">
        <v>81.27</v>
      </c>
      <c r="L14" s="18">
        <f>ROUND(MAX(IF(K14&gt;0,IF(K14&gt;SCORE!$J$9,300-((K14-SCORE!$J$9)*SCORE!$L$9),(SCORE!$B$9*POWER((SCORE!$C$9-K14),SCORE!$D$9))),0),0),0)</f>
        <v>81</v>
      </c>
      <c r="N14" s="24">
        <v>2</v>
      </c>
      <c r="O14" s="173">
        <v>54.99</v>
      </c>
      <c r="P14" s="18">
        <f>ROUND(MAX(IF(N14&gt;0,IF((N14*60+O14)&gt;SCORE!$J$10,300-(((N14*60+O14)-SCORE!$J$10)*SCORE!$L$10),IF((N14*60+O14)&gt;SCORE!$I$10,SCORE!$F$10*POWER((SCORE!$G$10-(N14*60+O14)),SCORE!$H$10),SCORE!$B$10*POWER((SCORE!$C$10-(N14*60+O14)),SCORE!$D$10)))-(SCORE!$Q$10*6),0),0),0)</f>
        <v>152</v>
      </c>
      <c r="R14" s="1">
        <v>4.03</v>
      </c>
      <c r="S14" s="18">
        <f>ROUND(MAX(IF((R14*100)&gt;0,IF((R14*100)&lt;SCORE!$J$25,300+(((R14*100)-SCORE!$J$25)*SCORE!$L$25),IF((R14*100)&lt;SCORE!$I$25,SCORE!$F$25*POWER(((R14*100)-SCORE!$G$25),SCORE!$H$25),SCORE!$B$25*POWER(((R14*100)-SCORE!$C$25),SCORE!$D$25)))-(SCORE!$Q$25*6),0),0),0)</f>
        <v>213</v>
      </c>
      <c r="U14" s="1">
        <v>1.25</v>
      </c>
      <c r="V14" s="18">
        <f>ROUND(MAX(IF(U14&gt;0,IF((U14*100)&lt;SCORE!$J$23,300+(((U14*100)-SCORE!$J$23)*SCORE!$L$23),IF((U14*100)&lt;SCORE!$I$23,SCORE!$F$23*POWER(((U14*100)-SCORE!$G$23),SCORE!$H$23),SCORE!$B$23*POWER(((U14*100)-SCORE!$C$23),SCORE!$D$23))),0),0),0)</f>
        <v>212</v>
      </c>
      <c r="X14" s="1">
        <v>5.01</v>
      </c>
      <c r="Y14" s="18">
        <f>ROUND(MAX(IF(X14&gt;0,IF(X14&lt;SCORE!$J$55,300+((X14-SCORE!$J$55)*SCORE!$L$55),SCORE!$B$55*POWER((X14-SCORE!$C$55),SCORE!$D$55)),0),0),0)</f>
        <v>131</v>
      </c>
      <c r="AA14" s="1">
        <v>15</v>
      </c>
      <c r="AB14" s="18">
        <f>ROUND(MAX(IF(AA14&gt;0,IF(AA14&lt;SCORE!$J$58,300+((AA14-SCORE!$J$58)*SCORE!$L$58),SCORE!$B$58*POWER((AA14-SCORE!$C$58),SCORE!$D$58)),0),0),0)</f>
        <v>142</v>
      </c>
    </row>
    <row r="15" spans="1:28" ht="14.5" x14ac:dyDescent="0.25">
      <c r="A15" s="22">
        <v>11</v>
      </c>
      <c r="B15" s="11" t="str">
        <f ca="1">IF(A15&lt;=$A$2,INDEX(Athletes!$B$2:$B$101,MATCH($B$2&amp;" - "&amp;A15,Athletes!$E$2:$E$101,0)),"")</f>
        <v>Conor Scobie</v>
      </c>
      <c r="C15" s="18">
        <f ca="1">IF($A15&lt;=$A$2,INDEX(Athletes!$D$2:$D$101,MATCH($B$2&amp;" - "&amp;$A15,Athletes!$E$2:$E$101,0)),"")</f>
        <v>243</v>
      </c>
      <c r="E15" s="135">
        <f t="shared" ca="1" si="1"/>
        <v>1337</v>
      </c>
      <c r="F15" s="136">
        <f t="shared" ca="1" si="3"/>
        <v>7</v>
      </c>
      <c r="H15" s="172">
        <v>14.58</v>
      </c>
      <c r="I15" s="18">
        <f>ROUND(MAX(IF(H15&gt;0,IF(H15&gt;SCORE!$J$6,300-((H15-SCORE!$J$6)*SCORE!$L$6+(SCORE!$Q$6*4)),IF(H15&gt;SCORE!$I$6,(SCORE!$F$6*POWER((SCORE!$G$6-H15),SCORE!$H$6)-(SCORE!$Q$6*10)),(SCORE!$B$6*POWER((SCORE!$C$6-H15),SCORE!$D$6))-SCORE!$Q$6*10)),0),0),0)</f>
        <v>202</v>
      </c>
      <c r="K15" s="17">
        <v>67.03</v>
      </c>
      <c r="L15" s="18">
        <f>ROUND(MAX(IF(K15&gt;0,IF(K15&gt;SCORE!$J$9,300-((K15-SCORE!$J$9)*SCORE!$L$9),(SCORE!$B$9*POWER((SCORE!$C$9-K15),SCORE!$D$9))),0),0),0)</f>
        <v>212</v>
      </c>
      <c r="N15" s="24">
        <v>2</v>
      </c>
      <c r="O15" s="173">
        <v>26.18</v>
      </c>
      <c r="P15" s="18">
        <f>ROUND(MAX(IF(N15&gt;0,IF((N15*60+O15)&gt;SCORE!$J$10,300-(((N15*60+O15)-SCORE!$J$10)*SCORE!$L$10),IF((N15*60+O15)&gt;SCORE!$I$10,SCORE!$F$10*POWER((SCORE!$G$10-(N15*60+O15)),SCORE!$H$10),SCORE!$B$10*POWER((SCORE!$C$10-(N15*60+O15)),SCORE!$D$10)))-(SCORE!$Q$10*6),0),0),0)</f>
        <v>261</v>
      </c>
      <c r="R15" s="1">
        <v>3.78</v>
      </c>
      <c r="S15" s="18">
        <f>ROUND(MAX(IF((R15*100)&gt;0,IF((R15*100)&lt;SCORE!$J$25,300+(((R15*100)-SCORE!$J$25)*SCORE!$L$25),IF((R15*100)&lt;SCORE!$I$25,SCORE!$F$25*POWER(((R15*100)-SCORE!$G$25),SCORE!$H$25),SCORE!$B$25*POWER(((R15*100)-SCORE!$C$25),SCORE!$D$25)))-(SCORE!$Q$25*6),0),0),0)</f>
        <v>191</v>
      </c>
      <c r="U15" s="1">
        <v>1.3</v>
      </c>
      <c r="V15" s="18">
        <f>ROUND(MAX(IF(U15&gt;0,IF((U15*100)&lt;SCORE!$J$23,300+(((U15*100)-SCORE!$J$23)*SCORE!$L$23),IF((U15*100)&lt;SCORE!$I$23,SCORE!$F$23*POWER(((U15*100)-SCORE!$G$23),SCORE!$H$23),SCORE!$B$23*POWER(((U15*100)-SCORE!$C$23),SCORE!$D$23))),0),0),0)</f>
        <v>227</v>
      </c>
      <c r="X15" s="1">
        <v>4.8600000000000003</v>
      </c>
      <c r="Y15" s="18">
        <f>ROUND(MAX(IF(X15&gt;0,IF(X15&lt;SCORE!$J$55,300+((X15-SCORE!$J$55)*SCORE!$L$55),SCORE!$B$55*POWER((X15-SCORE!$C$55),SCORE!$D$55)),0),0),0)</f>
        <v>125</v>
      </c>
      <c r="AA15" s="1">
        <v>13.38</v>
      </c>
      <c r="AB15" s="18">
        <f>ROUND(MAX(IF(AA15&gt;0,IF(AA15&lt;SCORE!$J$58,300+((AA15-SCORE!$J$58)*SCORE!$L$58),SCORE!$B$58*POWER((AA15-SCORE!$C$58),SCORE!$D$58)),0),0),0)</f>
        <v>119</v>
      </c>
    </row>
    <row r="16" spans="1:28" ht="14.5" x14ac:dyDescent="0.25">
      <c r="A16" s="22">
        <v>12</v>
      </c>
      <c r="B16" s="11" t="str">
        <f ca="1">IF(A16&lt;=$A$2,INDEX(Athletes!$B$2:$B$101,MATCH($B$2&amp;" - "&amp;A16,Athletes!$E$2:$E$101,0)),"")</f>
        <v>Harry Campbell</v>
      </c>
      <c r="C16" s="18">
        <f ca="1">IF($A16&lt;=$A$2,INDEX(Athletes!$D$2:$D$101,MATCH($B$2&amp;" - "&amp;$A16,Athletes!$E$2:$E$101,0)),"")</f>
        <v>244</v>
      </c>
      <c r="E16" s="135">
        <f t="shared" ca="1" si="1"/>
        <v>0</v>
      </c>
      <c r="F16" s="136">
        <f t="shared" ca="1" si="3"/>
        <v>14</v>
      </c>
      <c r="H16" s="172"/>
      <c r="I16" s="18">
        <f>ROUND(MAX(IF(H16&gt;0,IF(H16&gt;SCORE!$J$6,300-((H16-SCORE!$J$6)*SCORE!$L$6+(SCORE!$Q$6*4)),IF(H16&gt;SCORE!$I$6,(SCORE!$F$6*POWER((SCORE!$G$6-H16),SCORE!$H$6)-(SCORE!$Q$6*10)),(SCORE!$B$6*POWER((SCORE!$C$6-H16),SCORE!$D$6))-SCORE!$Q$6*10)),0),0),0)</f>
        <v>0</v>
      </c>
      <c r="K16" s="17"/>
      <c r="L16" s="18">
        <f>ROUND(MAX(IF(K16&gt;0,IF(K16&gt;SCORE!$J$9,300-((K16-SCORE!$J$9)*SCORE!$L$9),(SCORE!$B$9*POWER((SCORE!$C$9-K16),SCORE!$D$9))),0),0),0)</f>
        <v>0</v>
      </c>
      <c r="N16" s="24"/>
      <c r="O16" s="173"/>
      <c r="P16" s="18">
        <f>ROUND(MAX(IF(N16&gt;0,IF((N16*60+O16)&gt;SCORE!$J$10,300-(((N16*60+O16)-SCORE!$J$10)*SCORE!$L$10),IF((N16*60+O16)&gt;SCORE!$I$10,SCORE!$F$10*POWER((SCORE!$G$10-(N16*60+O16)),SCORE!$H$10),SCORE!$B$10*POWER((SCORE!$C$10-(N16*60+O16)),SCORE!$D$10)))-(SCORE!$Q$10*6),0),0),0)</f>
        <v>0</v>
      </c>
      <c r="R16" s="1"/>
      <c r="S16" s="18">
        <f>ROUND(MAX(IF((R16*100)&gt;0,IF((R16*100)&lt;SCORE!$J$25,300+(((R16*100)-SCORE!$J$25)*SCORE!$L$25),IF((R16*100)&lt;SCORE!$I$25,SCORE!$F$25*POWER(((R16*100)-SCORE!$G$25),SCORE!$H$25),SCORE!$B$25*POWER(((R16*100)-SCORE!$C$25),SCORE!$D$25)))-(SCORE!$Q$25*6),0),0),0)</f>
        <v>0</v>
      </c>
      <c r="U16" s="1"/>
      <c r="V16" s="18">
        <f>ROUND(MAX(IF(U16&gt;0,IF((U16*100)&lt;SCORE!$J$23,300+(((U16*100)-SCORE!$J$23)*SCORE!$L$23),IF((U16*100)&lt;SCORE!$I$23,SCORE!$F$23*POWER(((U16*100)-SCORE!$G$23),SCORE!$H$23),SCORE!$B$23*POWER(((U16*100)-SCORE!$C$23),SCORE!$D$23))),0),0),0)</f>
        <v>0</v>
      </c>
      <c r="X16" s="1"/>
      <c r="Y16" s="18">
        <f>ROUND(MAX(IF(X16&gt;0,IF(X16&lt;SCORE!$J$55,300+((X16-SCORE!$J$55)*SCORE!$L$55),SCORE!$B$55*POWER((X16-SCORE!$C$55),SCORE!$D$55)),0),0),0)</f>
        <v>0</v>
      </c>
      <c r="AA16" s="1"/>
      <c r="AB16" s="18">
        <f>ROUND(MAX(IF(AA16&gt;0,IF(AA16&lt;SCORE!$J$58,300+((AA16-SCORE!$J$58)*SCORE!$L$58),SCORE!$B$58*POWER((AA16-SCORE!$C$58),SCORE!$D$58)),0),0),0)</f>
        <v>0</v>
      </c>
    </row>
    <row r="17" spans="1:28" ht="14.5" x14ac:dyDescent="0.25">
      <c r="A17" s="22">
        <v>13</v>
      </c>
      <c r="B17" s="11" t="str">
        <f ca="1">IF(A17&lt;=$A$2,INDEX(Athletes!$B$2:$B$101,MATCH($B$2&amp;" - "&amp;A17,Athletes!$E$2:$E$101,0)),"")</f>
        <v>Reas Begnor</v>
      </c>
      <c r="C17" s="18">
        <f ca="1">IF($A17&lt;=$A$2,INDEX(Athletes!$D$2:$D$101,MATCH($B$2&amp;" - "&amp;$A17,Athletes!$E$2:$E$101,0)),"")</f>
        <v>245</v>
      </c>
      <c r="E17" s="135">
        <f t="shared" ca="1" si="1"/>
        <v>1213</v>
      </c>
      <c r="F17" s="136">
        <f t="shared" ca="1" si="3"/>
        <v>9</v>
      </c>
      <c r="H17" s="172">
        <v>14.2</v>
      </c>
      <c r="I17" s="18">
        <f>ROUND(MAX(IF(H17&gt;0,IF(H17&gt;SCORE!$J$6,300-((H17-SCORE!$J$6)*SCORE!$L$6+(SCORE!$Q$6*4)),IF(H17&gt;SCORE!$I$6,(SCORE!$F$6*POWER((SCORE!$G$6-H17),SCORE!$H$6)-(SCORE!$Q$6*10)),(SCORE!$B$6*POWER((SCORE!$C$6-H17),SCORE!$D$6))-SCORE!$Q$6*10)),0),0),0)</f>
        <v>220</v>
      </c>
      <c r="K17" s="17">
        <v>70.150000000000006</v>
      </c>
      <c r="L17" s="18">
        <f>ROUND(MAX(IF(K17&gt;0,IF(K17&gt;SCORE!$J$9,300-((K17-SCORE!$J$9)*SCORE!$L$9),(SCORE!$B$9*POWER((SCORE!$C$9-K17),SCORE!$D$9))),0),0),0)</f>
        <v>184</v>
      </c>
      <c r="N17" s="24">
        <v>2</v>
      </c>
      <c r="O17" s="173">
        <v>46.23</v>
      </c>
      <c r="P17" s="18">
        <f>ROUND(MAX(IF(N17&gt;0,IF((N17*60+O17)&gt;SCORE!$J$10,300-(((N17*60+O17)-SCORE!$J$10)*SCORE!$L$10),IF((N17*60+O17)&gt;SCORE!$I$10,SCORE!$F$10*POWER((SCORE!$G$10-(N17*60+O17)),SCORE!$H$10),SCORE!$B$10*POWER((SCORE!$C$10-(N17*60+O17)),SCORE!$D$10)))-(SCORE!$Q$10*6),0),0),0)</f>
        <v>185</v>
      </c>
      <c r="R17" s="1">
        <v>3.51</v>
      </c>
      <c r="S17" s="18">
        <f>ROUND(MAX(IF((R17*100)&gt;0,IF((R17*100)&lt;SCORE!$J$25,300+(((R17*100)-SCORE!$J$25)*SCORE!$L$25),IF((R17*100)&lt;SCORE!$I$25,SCORE!$F$25*POWER(((R17*100)-SCORE!$G$25),SCORE!$H$25),SCORE!$B$25*POWER(((R17*100)-SCORE!$C$25),SCORE!$D$25)))-(SCORE!$Q$25*6),0),0),0)</f>
        <v>168</v>
      </c>
      <c r="U17" s="1">
        <v>1.2</v>
      </c>
      <c r="V17" s="18">
        <f>ROUND(MAX(IF(U17&gt;0,IF((U17*100)&lt;SCORE!$J$23,300+(((U17*100)-SCORE!$J$23)*SCORE!$L$23),IF((U17*100)&lt;SCORE!$I$23,SCORE!$F$23*POWER(((U17*100)-SCORE!$G$23),SCORE!$H$23),SCORE!$B$23*POWER(((U17*100)-SCORE!$C$23),SCORE!$D$23))),0),0),0)</f>
        <v>197</v>
      </c>
      <c r="X17" s="1">
        <v>6.28</v>
      </c>
      <c r="Y17" s="18">
        <f>ROUND(MAX(IF(X17&gt;0,IF(X17&lt;SCORE!$J$55,300+((X17-SCORE!$J$55)*SCORE!$L$55),SCORE!$B$55*POWER((X17-SCORE!$C$55),SCORE!$D$55)),0),0),0)</f>
        <v>187</v>
      </c>
      <c r="AA17" s="1">
        <v>10.029999999999999</v>
      </c>
      <c r="AB17" s="18">
        <f>ROUND(MAX(IF(AA17&gt;0,IF(AA17&lt;SCORE!$J$58,300+((AA17-SCORE!$J$58)*SCORE!$L$58),SCORE!$B$58*POWER((AA17-SCORE!$C$58),SCORE!$D$58)),0),0),0)</f>
        <v>72</v>
      </c>
    </row>
    <row r="18" spans="1:28" ht="14.5" x14ac:dyDescent="0.25">
      <c r="A18" s="22">
        <v>14</v>
      </c>
      <c r="B18" s="11" t="str">
        <f ca="1">IF(A18&lt;=$A$2,INDEX(Athletes!$B$2:$B$101,MATCH($B$2&amp;" - "&amp;A18,Athletes!$E$2:$E$101,0)),"")</f>
        <v>Rhys Johnston</v>
      </c>
      <c r="C18" s="18">
        <f ca="1">IF($A18&lt;=$A$2,INDEX(Athletes!$D$2:$D$101,MATCH($B$2&amp;" - "&amp;$A18,Athletes!$E$2:$E$101,0)),"")</f>
        <v>246</v>
      </c>
      <c r="E18" s="135">
        <f ca="1">IF(B18&lt;&gt;"",I18+L18+P18+S18+V18+Y18+AB18,0)</f>
        <v>1462</v>
      </c>
      <c r="F18" s="136">
        <f t="shared" ca="1" si="3"/>
        <v>3</v>
      </c>
      <c r="H18" s="172">
        <v>14.43</v>
      </c>
      <c r="I18" s="18">
        <f>ROUND(MAX(IF(H18&gt;0,IF(H18&gt;SCORE!$J$6,300-((H18-SCORE!$J$6)*SCORE!$L$6+(SCORE!$Q$6*4)),IF(H18&gt;SCORE!$I$6,(SCORE!$F$6*POWER((SCORE!$G$6-H18),SCORE!$H$6)-(SCORE!$Q$6*10)),(SCORE!$B$6*POWER((SCORE!$C$6-H18),SCORE!$D$6))-SCORE!$Q$6*10)),0),0),0)</f>
        <v>209</v>
      </c>
      <c r="K18" s="17">
        <v>68.069999999999993</v>
      </c>
      <c r="L18" s="18">
        <f>ROUND(MAX(IF(K18&gt;0,IF(K18&gt;SCORE!$J$9,300-((K18-SCORE!$J$9)*SCORE!$L$9),(SCORE!$B$9*POWER((SCORE!$C$9-K18),SCORE!$D$9))),0),0),0)</f>
        <v>203</v>
      </c>
      <c r="N18" s="24">
        <v>2</v>
      </c>
      <c r="O18" s="173">
        <v>46.23</v>
      </c>
      <c r="P18" s="18">
        <f>ROUND(MAX(IF(N18&gt;0,IF((N18*60+O18)&gt;SCORE!$J$10,300-(((N18*60+O18)-SCORE!$J$10)*SCORE!$L$10),IF((N18*60+O18)&gt;SCORE!$I$10,SCORE!$F$10*POWER((SCORE!$G$10-(N18*60+O18)),SCORE!$H$10),SCORE!$B$10*POWER((SCORE!$C$10-(N18*60+O18)),SCORE!$D$10)))-(SCORE!$Q$10*6),0),0),0)</f>
        <v>185</v>
      </c>
      <c r="R18" s="1">
        <v>4.03</v>
      </c>
      <c r="S18" s="18">
        <f>ROUND(MAX(IF((R18*100)&gt;0,IF((R18*100)&lt;SCORE!$J$25,300+(((R18*100)-SCORE!$J$25)*SCORE!$L$25),IF((R18*100)&lt;SCORE!$I$25,SCORE!$F$25*POWER(((R18*100)-SCORE!$G$25),SCORE!$H$25),SCORE!$B$25*POWER(((R18*100)-SCORE!$C$25),SCORE!$D$25)))-(SCORE!$Q$25*6),0),0),0)</f>
        <v>213</v>
      </c>
      <c r="U18" s="1">
        <v>1.3</v>
      </c>
      <c r="V18" s="18">
        <f>ROUND(MAX(IF(U18&gt;0,IF((U18*100)&lt;SCORE!$J$23,300+(((U18*100)-SCORE!$J$23)*SCORE!$L$23),IF((U18*100)&lt;SCORE!$I$23,SCORE!$F$23*POWER(((U18*100)-SCORE!$G$23),SCORE!$H$23),SCORE!$B$23*POWER(((U18*100)-SCORE!$C$23),SCORE!$D$23))),0),0),0)</f>
        <v>227</v>
      </c>
      <c r="X18" s="1">
        <v>5.52</v>
      </c>
      <c r="Y18" s="18">
        <f>ROUND(MAX(IF(X18&gt;0,IF(X18&lt;SCORE!$J$55,300+((X18-SCORE!$J$55)*SCORE!$L$55),SCORE!$B$55*POWER((X18-SCORE!$C$55),SCORE!$D$55)),0),0),0)</f>
        <v>153</v>
      </c>
      <c r="AA18" s="1">
        <v>24.15</v>
      </c>
      <c r="AB18" s="18">
        <f>ROUND(MAX(IF(AA18&gt;0,IF(AA18&lt;SCORE!$J$58,300+((AA18-SCORE!$J$58)*SCORE!$L$58),SCORE!$B$58*POWER((AA18-SCORE!$C$58),SCORE!$D$58)),0),0),0)</f>
        <v>272</v>
      </c>
    </row>
    <row r="19" spans="1:28" ht="14.5" x14ac:dyDescent="0.25">
      <c r="A19" s="22">
        <f t="shared" si="2"/>
        <v>15</v>
      </c>
      <c r="B19" s="11" t="str">
        <f ca="1">IF(A19&lt;=$A$2,INDEX(Athletes!$B$2:$B$101,MATCH($B$2&amp;" - "&amp;A19,Athletes!$E$2:$E$101,0)),"")</f>
        <v/>
      </c>
      <c r="C19" s="18" t="str">
        <f ca="1">IF($A19&lt;=$A$2,INDEX(Athletes!$D$2:$D$101,MATCH($B$2&amp;" - "&amp;$A19,Athletes!$E$2:$E$101,0)),"")</f>
        <v/>
      </c>
      <c r="E19" s="135">
        <f t="shared" ca="1" si="1"/>
        <v>0</v>
      </c>
      <c r="F19" s="136" t="str">
        <f t="shared" ca="1" si="3"/>
        <v/>
      </c>
      <c r="H19" s="17"/>
      <c r="I19" s="18">
        <f>ROUND(MAX(IF(H19&gt;0,IF(H19&gt;SCORE!$J$6,300-((H19-SCORE!$J$6)*SCORE!$L$6+(SCORE!$Q$6*4)),IF(H19&gt;SCORE!$I$6,(SCORE!$F$6*POWER((SCORE!$G$6-H19),SCORE!$H$6)-(SCORE!$Q$6*10)),(SCORE!$B$6*POWER((SCORE!$C$6-H19),SCORE!$D$6))-SCORE!$Q$6*10)),0),0),0)</f>
        <v>0</v>
      </c>
      <c r="K19" s="17"/>
      <c r="L19" s="18">
        <f>ROUND(MAX(IF(K19&gt;0,IF(K19&gt;SCORE!$J$9,300-((K19-SCORE!$J$9)*SCORE!$L$9),(SCORE!$B$9*POWER((SCORE!$C$9-K19),SCORE!$D$9))),0),0),0)</f>
        <v>0</v>
      </c>
      <c r="N19" s="24"/>
      <c r="O19" s="25"/>
      <c r="P19" s="18">
        <f>ROUND(MAX(IF(N19&gt;0,IF((N19*60+O19)&gt;SCORE!$J$10,300-(((N19*60+O19)-SCORE!$J$10)*SCORE!$L$10),IF((N19*60+O19)&gt;SCORE!$I$10,SCORE!$F$10*POWER((SCORE!$G$10-(N19*60+O19)),SCORE!$H$10),SCORE!$B$10*POWER((SCORE!$C$10-(N19*60+O19)),SCORE!$D$10)))-(SCORE!$Q$10*6),0),0),0)</f>
        <v>0</v>
      </c>
      <c r="R19" s="1"/>
      <c r="S19" s="18">
        <f>ROUND(MAX(IF((R19*100)&gt;0,IF((R19*100)&lt;SCORE!$J$25,300+(((R19*100)-SCORE!$J$25)*SCORE!$L$25),IF((R19*100)&lt;SCORE!$I$25,SCORE!$F$25*POWER(((R19*100)-SCORE!$G$25),SCORE!$H$25),SCORE!$B$25*POWER(((R19*100)-SCORE!$C$25),SCORE!$D$25)))-(SCORE!$Q$25*6),0),0),0)</f>
        <v>0</v>
      </c>
      <c r="U19" s="1"/>
      <c r="V19" s="18">
        <f>ROUND(MAX(IF(U19&gt;0,IF((U19*100)&lt;SCORE!$J$23,300+(((U19*100)-SCORE!$J$23)*SCORE!$L$23),IF((U19*100)&lt;SCORE!$I$23,SCORE!$F$23*POWER(((U19*100)-SCORE!$G$23),SCORE!$H$23),SCORE!$B$23*POWER(((U19*100)-SCORE!$C$23),SCORE!$D$23))),0),0),0)</f>
        <v>0</v>
      </c>
      <c r="X19" s="1"/>
      <c r="Y19" s="18">
        <f>ROUND(MAX(IF(X19&gt;0,IF(X19&lt;SCORE!$J$55,300+((X19-SCORE!$J$55)*SCORE!$L$55),SCORE!$B$55*POWER((X19-SCORE!$C$55),SCORE!$D$55)),0),0),0)</f>
        <v>0</v>
      </c>
      <c r="AA19" s="1"/>
      <c r="AB19" s="18">
        <f>ROUND(MAX(IF(AA19&gt;0,IF(AA19&lt;SCORE!$J$58,300+((AA19-SCORE!$J$58)*SCORE!$L$58),SCORE!$B$58*POWER((AA19-SCORE!$C$58),SCORE!$D$58)),0),0),0)</f>
        <v>0</v>
      </c>
    </row>
    <row r="20" spans="1:28" ht="14.5" x14ac:dyDescent="0.25">
      <c r="A20" s="22">
        <f t="shared" si="2"/>
        <v>16</v>
      </c>
      <c r="B20" s="11" t="str">
        <f ca="1">IF(A20&lt;=$A$2,INDEX(Athletes!$B$2:$B$101,MATCH($B$2&amp;" - "&amp;A20,Athletes!$E$2:$E$101,0)),"")</f>
        <v/>
      </c>
      <c r="C20" s="18" t="str">
        <f ca="1">IF($A20&lt;=$A$2,INDEX(Athletes!$D$2:$D$101,MATCH($B$2&amp;" - "&amp;$A20,Athletes!$E$2:$E$101,0)),"")</f>
        <v/>
      </c>
      <c r="E20" s="135">
        <f t="shared" ca="1" si="1"/>
        <v>0</v>
      </c>
      <c r="F20" s="136" t="str">
        <f t="shared" ca="1" si="3"/>
        <v/>
      </c>
      <c r="H20" s="17"/>
      <c r="I20" s="18">
        <f>ROUND(MAX(IF(H20&gt;0,IF(H20&gt;SCORE!$J$6,300-((H20-SCORE!$J$6)*SCORE!$L$6+(SCORE!$Q$6*4)),IF(H20&gt;SCORE!$I$6,(SCORE!$F$6*POWER((SCORE!$G$6-H20),SCORE!$H$6)-(SCORE!$Q$6*10)),(SCORE!$B$6*POWER((SCORE!$C$6-H20),SCORE!$D$6))-SCORE!$Q$6*10)),0),0),0)</f>
        <v>0</v>
      </c>
      <c r="K20" s="17"/>
      <c r="L20" s="18">
        <f>ROUND(MAX(IF(K20&gt;0,IF(K20&gt;SCORE!$J$9,300-((K20-SCORE!$J$9)*SCORE!$L$9),(SCORE!$B$9*POWER((SCORE!$C$9-K20),SCORE!$D$9))),0),0),0)</f>
        <v>0</v>
      </c>
      <c r="N20" s="24"/>
      <c r="O20" s="25"/>
      <c r="P20" s="18">
        <f>ROUND(MAX(IF(N20&gt;0,IF((N20*60+O20)&gt;SCORE!$J$10,300-(((N20*60+O20)-SCORE!$J$10)*SCORE!$L$10),IF((N20*60+O20)&gt;SCORE!$I$10,SCORE!$F$10*POWER((SCORE!$G$10-(N20*60+O20)),SCORE!$H$10),SCORE!$B$10*POWER((SCORE!$C$10-(N20*60+O20)),SCORE!$D$10)))-(SCORE!$Q$10*6),0),0),0)</f>
        <v>0</v>
      </c>
      <c r="R20" s="1"/>
      <c r="S20" s="18">
        <f>ROUND(MAX(IF((R20*100)&gt;0,IF((R20*100)&lt;SCORE!$J$25,300+(((R20*100)-SCORE!$J$25)*SCORE!$L$25),IF((R20*100)&lt;SCORE!$I$25,SCORE!$F$25*POWER(((R20*100)-SCORE!$G$25),SCORE!$H$25),SCORE!$B$25*POWER(((R20*100)-SCORE!$C$25),SCORE!$D$25)))-(SCORE!$Q$25*6),0),0),0)</f>
        <v>0</v>
      </c>
      <c r="U20" s="1"/>
      <c r="V20" s="18">
        <f>ROUND(MAX(IF(U20&gt;0,IF((U20*100)&lt;SCORE!$J$23,300+(((U20*100)-SCORE!$J$23)*SCORE!$L$23),IF((U20*100)&lt;SCORE!$I$23,SCORE!$F$23*POWER(((U20*100)-SCORE!$G$23),SCORE!$H$23),SCORE!$B$23*POWER(((U20*100)-SCORE!$C$23),SCORE!$D$23))),0),0),0)</f>
        <v>0</v>
      </c>
      <c r="X20" s="1"/>
      <c r="Y20" s="18">
        <f>ROUND(MAX(IF(X20&gt;0,IF(X20&lt;SCORE!$J$55,300+((X20-SCORE!$J$55)*SCORE!$L$55),SCORE!$B$55*POWER((X20-SCORE!$C$55),SCORE!$D$55)),0),0),0)</f>
        <v>0</v>
      </c>
      <c r="AA20" s="1"/>
      <c r="AB20" s="18">
        <f>ROUND(MAX(IF(AA20&gt;0,IF(AA20&lt;SCORE!$J$58,300+((AA20-SCORE!$J$58)*SCORE!$L$58),SCORE!$B$58*POWER((AA20-SCORE!$C$58),SCORE!$D$58)),0),0),0)</f>
        <v>0</v>
      </c>
    </row>
    <row r="21" spans="1:28" ht="14.5" x14ac:dyDescent="0.25">
      <c r="A21" s="22">
        <f t="shared" si="2"/>
        <v>17</v>
      </c>
      <c r="B21" s="11" t="str">
        <f ca="1">IF(A21&lt;=$A$2,INDEX(Athletes!$B$2:$B$101,MATCH($B$2&amp;" - "&amp;A21,Athletes!$E$2:$E$101,0)),"")</f>
        <v/>
      </c>
      <c r="C21" s="18" t="str">
        <f ca="1">IF($A21&lt;=$A$2,INDEX(Athletes!$D$2:$D$101,MATCH($B$2&amp;" - "&amp;$A21,Athletes!$E$2:$E$101,0)),"")</f>
        <v/>
      </c>
      <c r="E21" s="135">
        <f t="shared" ref="E21:E24" ca="1" si="4">IF(B21&lt;&gt;"",I21+L21+P21+S21+V21+Y21+AB21,0)</f>
        <v>0</v>
      </c>
      <c r="F21" s="136" t="str">
        <f t="shared" ca="1" si="3"/>
        <v/>
      </c>
      <c r="H21" s="17"/>
      <c r="I21" s="18">
        <f>ROUND(MAX(IF(H21&gt;0,IF(H21&gt;SCORE!$J$6,300-((H21-SCORE!$J$6)*SCORE!$L$6+(SCORE!$Q$6*4)),IF(H21&gt;SCORE!$I$6,(SCORE!$F$6*POWER((SCORE!$G$6-H21),SCORE!$H$6)-(SCORE!$Q$6*10)),(SCORE!$B$6*POWER((SCORE!$C$6-H21),SCORE!$D$6))-SCORE!$Q$6*10)),0),0),0)</f>
        <v>0</v>
      </c>
      <c r="K21" s="17"/>
      <c r="L21" s="18">
        <f>ROUND(MAX(IF(K21&gt;0,IF(K21&gt;SCORE!$J$9,300-((K21-SCORE!$J$9)*SCORE!$L$9),(SCORE!$B$9*POWER((SCORE!$C$9-K21),SCORE!$D$9))),0),0),0)</f>
        <v>0</v>
      </c>
      <c r="N21" s="24"/>
      <c r="O21" s="25"/>
      <c r="P21" s="18">
        <f>ROUND(MAX(IF(N21&gt;0,IF((N21*60+O21)&gt;SCORE!$J$10,300-(((N21*60+O21)-SCORE!$J$10)*SCORE!$L$10),IF((N21*60+O21)&gt;SCORE!$I$10,SCORE!$F$10*POWER((SCORE!$G$10-(N21*60+O21)),SCORE!$H$10),SCORE!$B$10*POWER((SCORE!$C$10-(N21*60+O21)),SCORE!$D$10)))-(SCORE!$Q$10*6),0),0),0)</f>
        <v>0</v>
      </c>
      <c r="R21" s="1"/>
      <c r="S21" s="18">
        <f>ROUND(MAX(IF((R21*100)&gt;0,IF((R21*100)&lt;SCORE!$J$25,300+(((R21*100)-SCORE!$J$25)*SCORE!$L$25),IF((R21*100)&lt;SCORE!$I$25,SCORE!$F$25*POWER(((R21*100)-SCORE!$G$25),SCORE!$H$25),SCORE!$B$25*POWER(((R21*100)-SCORE!$C$25),SCORE!$D$25)))-(SCORE!$Q$25*6),0),0),0)</f>
        <v>0</v>
      </c>
      <c r="U21" s="1"/>
      <c r="V21" s="18">
        <f>ROUND(MAX(IF(U21&gt;0,IF((U21*100)&lt;SCORE!$J$23,300+(((U21*100)-SCORE!$J$23)*SCORE!$L$23),IF((U21*100)&lt;SCORE!$I$23,SCORE!$F$23*POWER(((U21*100)-SCORE!$G$23),SCORE!$H$23),SCORE!$B$23*POWER(((U21*100)-SCORE!$C$23),SCORE!$D$23))),0),0),0)</f>
        <v>0</v>
      </c>
      <c r="X21" s="1"/>
      <c r="Y21" s="18">
        <f>ROUND(MAX(IF(X21&gt;0,IF(X21&lt;SCORE!$J$55,300+((X21-SCORE!$J$55)*SCORE!$L$55),SCORE!$B$55*POWER((X21-SCORE!$C$55),SCORE!$D$55)),0),0),0)</f>
        <v>0</v>
      </c>
      <c r="AA21" s="1"/>
      <c r="AB21" s="18">
        <f>ROUND(MAX(IF(AA21&gt;0,IF(AA21&lt;SCORE!$J$58,300+((AA21-SCORE!$J$58)*SCORE!$L$58),SCORE!$B$58*POWER((AA21-SCORE!$C$58),SCORE!$D$58)),0),0),0)</f>
        <v>0</v>
      </c>
    </row>
    <row r="22" spans="1:28" ht="14.5" x14ac:dyDescent="0.25">
      <c r="A22" s="22">
        <f t="shared" si="2"/>
        <v>18</v>
      </c>
      <c r="B22" s="11" t="str">
        <f ca="1">IF(A22&lt;=$A$2,INDEX(Athletes!$B$2:$B$101,MATCH($B$2&amp;" - "&amp;A22,Athletes!$E$2:$E$101,0)),"")</f>
        <v/>
      </c>
      <c r="C22" s="18" t="str">
        <f ca="1">IF($A22&lt;=$A$2,INDEX(Athletes!$D$2:$D$101,MATCH($B$2&amp;" - "&amp;$A22,Athletes!$E$2:$E$101,0)),"")</f>
        <v/>
      </c>
      <c r="E22" s="135">
        <f t="shared" ca="1" si="4"/>
        <v>0</v>
      </c>
      <c r="F22" s="136" t="str">
        <f t="shared" ca="1" si="3"/>
        <v/>
      </c>
      <c r="H22" s="17"/>
      <c r="I22" s="18">
        <f>ROUND(MAX(IF(H22&gt;0,IF(H22&gt;SCORE!$J$6,300-((H22-SCORE!$J$6)*SCORE!$L$6+(SCORE!$Q$6*4)),IF(H22&gt;SCORE!$I$6,(SCORE!$F$6*POWER((SCORE!$G$6-H22),SCORE!$H$6)-(SCORE!$Q$6*10)),(SCORE!$B$6*POWER((SCORE!$C$6-H22),SCORE!$D$6))-SCORE!$Q$6*10)),0),0),0)</f>
        <v>0</v>
      </c>
      <c r="K22" s="17"/>
      <c r="L22" s="18">
        <f>ROUND(MAX(IF(K22&gt;0,IF(K22&gt;SCORE!$J$9,300-((K22-SCORE!$J$9)*SCORE!$L$9),(SCORE!$B$9*POWER((SCORE!$C$9-K22),SCORE!$D$9))),0),0),0)</f>
        <v>0</v>
      </c>
      <c r="N22" s="24"/>
      <c r="O22" s="25"/>
      <c r="P22" s="18">
        <f>ROUND(MAX(IF(N22&gt;0,IF((N22*60+O22)&gt;SCORE!$J$10,300-(((N22*60+O22)-SCORE!$J$10)*SCORE!$L$10),IF((N22*60+O22)&gt;SCORE!$I$10,SCORE!$F$10*POWER((SCORE!$G$10-(N22*60+O22)),SCORE!$H$10),SCORE!$B$10*POWER((SCORE!$C$10-(N22*60+O22)),SCORE!$D$10)))-(SCORE!$Q$10*6),0),0),0)</f>
        <v>0</v>
      </c>
      <c r="R22" s="1"/>
      <c r="S22" s="18">
        <f>ROUND(MAX(IF((R22*100)&gt;0,IF((R22*100)&lt;SCORE!$J$25,300+(((R22*100)-SCORE!$J$25)*SCORE!$L$25),IF((R22*100)&lt;SCORE!$I$25,SCORE!$F$25*POWER(((R22*100)-SCORE!$G$25),SCORE!$H$25),SCORE!$B$25*POWER(((R22*100)-SCORE!$C$25),SCORE!$D$25)))-(SCORE!$Q$25*6),0),0),0)</f>
        <v>0</v>
      </c>
      <c r="U22" s="1"/>
      <c r="V22" s="18">
        <f>ROUND(MAX(IF(U22&gt;0,IF((U22*100)&lt;SCORE!$J$23,300+(((U22*100)-SCORE!$J$23)*SCORE!$L$23),IF((U22*100)&lt;SCORE!$I$23,SCORE!$F$23*POWER(((U22*100)-SCORE!$G$23),SCORE!$H$23),SCORE!$B$23*POWER(((U22*100)-SCORE!$C$23),SCORE!$D$23))),0),0),0)</f>
        <v>0</v>
      </c>
      <c r="X22" s="1"/>
      <c r="Y22" s="18">
        <f>ROUND(MAX(IF(X22&gt;0,IF(X22&lt;SCORE!$J$55,300+((X22-SCORE!$J$55)*SCORE!$L$55),SCORE!$B$55*POWER((X22-SCORE!$C$55),SCORE!$D$55)),0),0),0)</f>
        <v>0</v>
      </c>
      <c r="AA22" s="1"/>
      <c r="AB22" s="18">
        <f>ROUND(MAX(IF(AA22&gt;0,IF(AA22&lt;SCORE!$J$58,300+((AA22-SCORE!$J$58)*SCORE!$L$58),SCORE!$B$58*POWER((AA22-SCORE!$C$58),SCORE!$D$58)),0),0),0)</f>
        <v>0</v>
      </c>
    </row>
    <row r="23" spans="1:28" ht="14.5" x14ac:dyDescent="0.25">
      <c r="A23" s="22">
        <f t="shared" si="2"/>
        <v>19</v>
      </c>
      <c r="B23" s="11" t="str">
        <f ca="1">IF(A23&lt;=$A$2,INDEX(Athletes!$B$2:$B$101,MATCH($B$2&amp;" - "&amp;A23,Athletes!$E$2:$E$101,0)),"")</f>
        <v/>
      </c>
      <c r="C23" s="18" t="str">
        <f ca="1">IF($A23&lt;=$A$2,INDEX(Athletes!$D$2:$D$101,MATCH($B$2&amp;" - "&amp;$A23,Athletes!$E$2:$E$101,0)),"")</f>
        <v/>
      </c>
      <c r="E23" s="135">
        <f t="shared" ca="1" si="4"/>
        <v>0</v>
      </c>
      <c r="F23" s="136" t="str">
        <f t="shared" ca="1" si="3"/>
        <v/>
      </c>
      <c r="H23" s="17"/>
      <c r="I23" s="18">
        <f>ROUND(MAX(IF(H23&gt;0,IF(H23&gt;SCORE!$J$6,300-((H23-SCORE!$J$6)*SCORE!$L$6+(SCORE!$Q$6*4)),IF(H23&gt;SCORE!$I$6,(SCORE!$F$6*POWER((SCORE!$G$6-H23),SCORE!$H$6)-(SCORE!$Q$6*10)),(SCORE!$B$6*POWER((SCORE!$C$6-H23),SCORE!$D$6))-SCORE!$Q$6*10)),0),0),0)</f>
        <v>0</v>
      </c>
      <c r="K23" s="17"/>
      <c r="L23" s="18">
        <f>ROUND(MAX(IF(K23&gt;0,IF(K23&gt;SCORE!$J$9,300-((K23-SCORE!$J$9)*SCORE!$L$9),(SCORE!$B$9*POWER((SCORE!$C$9-K23),SCORE!$D$9))),0),0),0)</f>
        <v>0</v>
      </c>
      <c r="N23" s="24"/>
      <c r="O23" s="25"/>
      <c r="P23" s="18">
        <f>ROUND(MAX(IF(N23&gt;0,IF((N23*60+O23)&gt;SCORE!$J$10,300-(((N23*60+O23)-SCORE!$J$10)*SCORE!$L$10),IF((N23*60+O23)&gt;SCORE!$I$10,SCORE!$F$10*POWER((SCORE!$G$10-(N23*60+O23)),SCORE!$H$10),SCORE!$B$10*POWER((SCORE!$C$10-(N23*60+O23)),SCORE!$D$10)))-(SCORE!$Q$10*6),0),0),0)</f>
        <v>0</v>
      </c>
      <c r="R23" s="1"/>
      <c r="S23" s="18">
        <f>ROUND(MAX(IF((R23*100)&gt;0,IF((R23*100)&lt;SCORE!$J$25,300+(((R23*100)-SCORE!$J$25)*SCORE!$L$25),IF((R23*100)&lt;SCORE!$I$25,SCORE!$F$25*POWER(((R23*100)-SCORE!$G$25),SCORE!$H$25),SCORE!$B$25*POWER(((R23*100)-SCORE!$C$25),SCORE!$D$25)))-(SCORE!$Q$25*6),0),0),0)</f>
        <v>0</v>
      </c>
      <c r="U23" s="1"/>
      <c r="V23" s="18">
        <f>ROUND(MAX(IF(U23&gt;0,IF((U23*100)&lt;SCORE!$J$23,300+(((U23*100)-SCORE!$J$23)*SCORE!$L$23),IF((U23*100)&lt;SCORE!$I$23,SCORE!$F$23*POWER(((U23*100)-SCORE!$G$23),SCORE!$H$23),SCORE!$B$23*POWER(((U23*100)-SCORE!$C$23),SCORE!$D$23))),0),0),0)</f>
        <v>0</v>
      </c>
      <c r="X23" s="1"/>
      <c r="Y23" s="18">
        <f>ROUND(MAX(IF(X23&gt;0,IF(X23&lt;SCORE!$J$55,300+((X23-SCORE!$J$55)*SCORE!$L$55),SCORE!$B$55*POWER((X23-SCORE!$C$55),SCORE!$D$55)),0),0),0)</f>
        <v>0</v>
      </c>
      <c r="AA23" s="1"/>
      <c r="AB23" s="18">
        <f>ROUND(MAX(IF(AA23&gt;0,IF(AA23&lt;SCORE!$J$58,300+((AA23-SCORE!$J$58)*SCORE!$L$58),SCORE!$B$58*POWER((AA23-SCORE!$C$58),SCORE!$D$58)),0),0),0)</f>
        <v>0</v>
      </c>
    </row>
    <row r="24" spans="1:28" ht="15" thickBot="1" x14ac:dyDescent="0.3">
      <c r="A24" s="160">
        <f t="shared" si="2"/>
        <v>20</v>
      </c>
      <c r="B24" s="11" t="str">
        <f ca="1">IF(A24&lt;=$A$2,INDEX(Athletes!$B$2:$B$101,MATCH($B$2&amp;" - "&amp;A24,Athletes!$E$2:$E$101,0)),"")</f>
        <v/>
      </c>
      <c r="C24" s="18" t="str">
        <f ca="1">IF($A24&lt;=$A$2,INDEX(Athletes!$D$2:$D$101,MATCH($B$2&amp;" - "&amp;$A24,Athletes!$E$2:$E$101,0)),"")</f>
        <v/>
      </c>
      <c r="E24" s="160">
        <f t="shared" ca="1" si="4"/>
        <v>0</v>
      </c>
      <c r="F24" s="136" t="str">
        <f t="shared" ca="1" si="3"/>
        <v/>
      </c>
      <c r="H24" s="163"/>
      <c r="I24" s="162">
        <f>ROUND(MAX(IF(H24&gt;0,IF(H24&gt;SCORE!$J$6,300-((H24-SCORE!$J$6)*SCORE!$L$6+(SCORE!$Q$6*4)),IF(H24&gt;SCORE!$I$6,(SCORE!$F$6*POWER((SCORE!$G$6-H24),SCORE!$H$6)-(SCORE!$Q$6*10)),(SCORE!$B$6*POWER((SCORE!$C$6-H24),SCORE!$D$6))-SCORE!$Q$6*10)),0),0),0)</f>
        <v>0</v>
      </c>
      <c r="K24" s="163"/>
      <c r="L24" s="162">
        <f>ROUND(MAX(IF(K24&gt;0,IF(K24&gt;SCORE!$J$9,300-((K24-SCORE!$J$9)*SCORE!$L$9),(SCORE!$B$9*POWER((SCORE!$C$9-K24),SCORE!$D$9))),0),0),0)</f>
        <v>0</v>
      </c>
      <c r="N24" s="165"/>
      <c r="O24" s="166"/>
      <c r="P24" s="162">
        <f>ROUND(MAX(IF(N24&gt;0,IF((N24*60+O24)&gt;SCORE!$J$10,300-(((N24*60+O24)-SCORE!$J$10)*SCORE!$L$10),IF((N24*60+O24)&gt;SCORE!$I$10,SCORE!$F$10*POWER((SCORE!$G$10-(N24*60+O24)),SCORE!$H$10),SCORE!$B$10*POWER((SCORE!$C$10-(N24*60+O24)),SCORE!$D$10)))-(SCORE!$Q$10*6),0),0),0)</f>
        <v>0</v>
      </c>
      <c r="R24" s="164"/>
      <c r="S24" s="162">
        <f>ROUND(MAX(IF((R24*100)&gt;0,IF((R24*100)&lt;SCORE!$J$25,300+(((R24*100)-SCORE!$J$25)*SCORE!$L$25),IF((R24*100)&lt;SCORE!$I$25,SCORE!$F$25*POWER(((R24*100)-SCORE!$G$25),SCORE!$H$25),SCORE!$B$25*POWER(((R24*100)-SCORE!$C$25),SCORE!$D$25)))-(SCORE!$Q$25*6),0),0),0)</f>
        <v>0</v>
      </c>
      <c r="U24" s="164"/>
      <c r="V24" s="162">
        <f>ROUND(MAX(IF(U24&gt;0,IF((U24*100)&lt;SCORE!$J$23,300+(((U24*100)-SCORE!$J$23)*SCORE!$L$23),IF((U24*100)&lt;SCORE!$I$23,SCORE!$F$23*POWER(((U24*100)-SCORE!$G$23),SCORE!$H$23),SCORE!$B$23*POWER(((U24*100)-SCORE!$C$23),SCORE!$D$23))),0),0),0)</f>
        <v>0</v>
      </c>
      <c r="X24" s="164"/>
      <c r="Y24" s="162">
        <f>ROUND(MAX(IF(X24&gt;0,IF(X24&lt;SCORE!$J$55,300+((X24-SCORE!$J$55)*SCORE!$L$55),SCORE!$B$55*POWER((X24-SCORE!$C$55),SCORE!$D$55)),0),0),0)</f>
        <v>0</v>
      </c>
      <c r="AA24" s="164"/>
      <c r="AB24" s="162">
        <f>ROUND(MAX(IF(AA24&gt;0,IF(AA24&lt;SCORE!$J$58,300+((AA24-SCORE!$J$58)*SCORE!$L$58),SCORE!$B$58*POWER((AA24-SCORE!$C$58),SCORE!$D$58)),0),0),0)</f>
        <v>0</v>
      </c>
    </row>
  </sheetData>
  <dataConsolidate/>
  <mergeCells count="15">
    <mergeCell ref="AA2:AB2"/>
    <mergeCell ref="I3:I4"/>
    <mergeCell ref="L3:L4"/>
    <mergeCell ref="N3:O3"/>
    <mergeCell ref="P3:P4"/>
    <mergeCell ref="S3:S4"/>
    <mergeCell ref="V3:V4"/>
    <mergeCell ref="Y3:Y4"/>
    <mergeCell ref="AB3:AB4"/>
    <mergeCell ref="H2:I2"/>
    <mergeCell ref="K2:L2"/>
    <mergeCell ref="N2:P2"/>
    <mergeCell ref="R2:S2"/>
    <mergeCell ref="U2:V2"/>
    <mergeCell ref="X2:Y2"/>
  </mergeCells>
  <pageMargins left="0.74803149606299213" right="0.74803149606299213" top="0.51181102362204722" bottom="0.78740157480314965" header="0.51181102362204722" footer="0.51181102362204722"/>
  <pageSetup paperSize="9" scale="55" orientation="landscape" r:id="rId1"/>
  <headerFooter alignWithMargins="0">
    <oddFooter>&amp;L
&amp;A&amp;C
&amp;P&amp;R&amp;F
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rgb="FFFFFFCC"/>
    <outlinePr summaryBelow="0"/>
    <pageSetUpPr autoPageBreaks="0"/>
  </sheetPr>
  <dimension ref="A1:AY11"/>
  <sheetViews>
    <sheetView showGridLines="0" zoomScale="80" zoomScaleNormal="80" workbookViewId="0">
      <selection activeCell="X9" sqref="X9"/>
    </sheetView>
  </sheetViews>
  <sheetFormatPr defaultColWidth="9.1796875" defaultRowHeight="12.5" x14ac:dyDescent="0.25"/>
  <cols>
    <col min="1" max="1" width="10.7265625" style="13" customWidth="1"/>
    <col min="2" max="2" width="25.7265625" style="13" customWidth="1"/>
    <col min="3" max="3" width="10.7265625" style="13" customWidth="1"/>
    <col min="4" max="4" width="2.7265625" style="14" customWidth="1"/>
    <col min="5" max="5" width="10.7265625" style="13" customWidth="1"/>
    <col min="6" max="6" width="8.7265625" style="13" customWidth="1"/>
    <col min="7" max="7" width="2.7265625" style="14" customWidth="1"/>
    <col min="8" max="8" width="12.7265625" style="13" customWidth="1"/>
    <col min="9" max="9" width="9.1796875" style="13" customWidth="1"/>
    <col min="10" max="10" width="2.7265625" style="14" customWidth="1"/>
    <col min="11" max="11" width="12.7265625" style="13" customWidth="1"/>
    <col min="12" max="12" width="9.1796875" style="13" customWidth="1"/>
    <col min="13" max="13" width="2.7265625" style="14" customWidth="1"/>
    <col min="14" max="14" width="8.7265625" style="13" customWidth="1"/>
    <col min="15" max="15" width="10.7265625" style="13" customWidth="1"/>
    <col min="16" max="16" width="9.1796875" style="13" customWidth="1"/>
    <col min="17" max="17" width="2.7265625" style="14" customWidth="1"/>
    <col min="18" max="18" width="13.26953125" style="13" customWidth="1"/>
    <col min="19" max="19" width="9.1796875" style="13" customWidth="1"/>
    <col min="20" max="20" width="2.7265625" style="14" customWidth="1"/>
    <col min="21" max="21" width="13.26953125" style="13" customWidth="1"/>
    <col min="22" max="22" width="9.1796875" style="13" customWidth="1"/>
    <col min="23" max="23" width="2.7265625" style="14" customWidth="1"/>
    <col min="24" max="24" width="13.26953125" style="13" customWidth="1"/>
    <col min="25" max="25" width="9.1796875" style="13" customWidth="1"/>
    <col min="26" max="26" width="2.7265625" style="14" customWidth="1"/>
    <col min="27" max="27" width="13.26953125" style="13" customWidth="1"/>
    <col min="28" max="28" width="9.1796875" style="13" customWidth="1"/>
    <col min="29" max="29" width="9.1796875" style="13"/>
    <col min="52" max="16384" width="9.1796875" style="13"/>
  </cols>
  <sheetData>
    <row r="1" spans="1:51" s="14" customFormat="1" ht="13" thickBot="1" x14ac:dyDescent="0.3">
      <c r="I1" s="137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.5" x14ac:dyDescent="0.35">
      <c r="A2" s="23">
        <f ca="1">COUNTIF(Athletes!$C$2:$C$101,RIGHT(CELL("filename",A2),LEN(CELL("filename",A2))-FIND("]",CELL("filename",A2),1)))</f>
        <v>4</v>
      </c>
      <c r="B2" s="23" t="str">
        <f ca="1">RIGHT(CELL("filename",A2),LEN(CELL("filename",A2))-FIND("]",CELL("filename",A2),1))</f>
        <v>U17 - M</v>
      </c>
      <c r="C2" s="14"/>
      <c r="E2" s="14"/>
      <c r="F2" s="14"/>
      <c r="H2" s="176" t="s">
        <v>105</v>
      </c>
      <c r="I2" s="177"/>
      <c r="K2" s="176" t="s">
        <v>106</v>
      </c>
      <c r="L2" s="177"/>
      <c r="N2" s="176" t="s">
        <v>37</v>
      </c>
      <c r="O2" s="182"/>
      <c r="P2" s="177"/>
      <c r="R2" s="176" t="s">
        <v>22</v>
      </c>
      <c r="S2" s="177"/>
      <c r="U2" s="176" t="s">
        <v>21</v>
      </c>
      <c r="V2" s="177"/>
      <c r="X2" s="176" t="s">
        <v>34</v>
      </c>
      <c r="Y2" s="177"/>
      <c r="AA2" s="176" t="s">
        <v>24</v>
      </c>
      <c r="AB2" s="177"/>
    </row>
    <row r="3" spans="1:51" ht="15" customHeight="1" thickBot="1" x14ac:dyDescent="0.3">
      <c r="A3" s="14"/>
      <c r="B3" s="14"/>
      <c r="C3" s="14"/>
      <c r="E3" s="14"/>
      <c r="F3" s="14"/>
      <c r="H3" s="138" t="s">
        <v>18</v>
      </c>
      <c r="I3" s="178" t="s">
        <v>19</v>
      </c>
      <c r="K3" s="138" t="s">
        <v>18</v>
      </c>
      <c r="L3" s="178" t="s">
        <v>19</v>
      </c>
      <c r="N3" s="186" t="s">
        <v>18</v>
      </c>
      <c r="O3" s="187"/>
      <c r="P3" s="178" t="s">
        <v>19</v>
      </c>
      <c r="R3" s="138" t="s">
        <v>18</v>
      </c>
      <c r="S3" s="178" t="s">
        <v>19</v>
      </c>
      <c r="U3" s="138" t="s">
        <v>18</v>
      </c>
      <c r="V3" s="178" t="s">
        <v>19</v>
      </c>
      <c r="X3" s="138" t="s">
        <v>18</v>
      </c>
      <c r="Y3" s="178" t="s">
        <v>19</v>
      </c>
      <c r="AA3" s="138" t="s">
        <v>18</v>
      </c>
      <c r="AB3" s="178" t="s">
        <v>19</v>
      </c>
    </row>
    <row r="4" spans="1:51" ht="20.149999999999999" customHeight="1" x14ac:dyDescent="0.25">
      <c r="A4" s="19" t="s">
        <v>6</v>
      </c>
      <c r="B4" s="20" t="s">
        <v>3</v>
      </c>
      <c r="C4" s="21" t="s">
        <v>26</v>
      </c>
      <c r="E4" s="19" t="s">
        <v>27</v>
      </c>
      <c r="F4" s="21" t="s">
        <v>36</v>
      </c>
      <c r="H4" s="138" t="s">
        <v>32</v>
      </c>
      <c r="I4" s="178"/>
      <c r="K4" s="138" t="s">
        <v>32</v>
      </c>
      <c r="L4" s="178"/>
      <c r="N4" s="138" t="s">
        <v>33</v>
      </c>
      <c r="O4" s="139" t="s">
        <v>32</v>
      </c>
      <c r="P4" s="178"/>
      <c r="R4" s="138" t="s">
        <v>35</v>
      </c>
      <c r="S4" s="178"/>
      <c r="U4" s="138" t="s">
        <v>35</v>
      </c>
      <c r="V4" s="178"/>
      <c r="X4" s="138" t="s">
        <v>35</v>
      </c>
      <c r="Y4" s="178"/>
      <c r="AA4" s="138" t="s">
        <v>35</v>
      </c>
      <c r="AB4" s="178"/>
    </row>
    <row r="5" spans="1:51" ht="14.5" x14ac:dyDescent="0.25">
      <c r="A5" s="22">
        <v>1</v>
      </c>
      <c r="B5" s="11" t="str">
        <f ca="1">IF($A5&lt;=$A$2,INDEX(Athletes!$B$2:$B$101,MATCH($B$2&amp;" - "&amp;$A5,Athletes!$E$2:$E$101,0)),"")</f>
        <v>Nathan McColm</v>
      </c>
      <c r="C5" s="18">
        <f ca="1">IF($A5&lt;=$A$2,INDEX(Athletes!$D$2:$D$101,MATCH($B$2&amp;" - "&amp;$A5,Athletes!$E$2:$E$101,0)),"")</f>
        <v>247</v>
      </c>
      <c r="E5" s="135">
        <f ca="1">IF(B5&lt;&gt;"",I5+L5+P5+S5+V5+Y5+AB5,0)</f>
        <v>1662</v>
      </c>
      <c r="F5" s="136">
        <f t="shared" ref="F5:F11" ca="1" si="0">IF(B5&lt;&gt;"",RANK(E5,$E$5:$E$11),"")</f>
        <v>3</v>
      </c>
      <c r="H5" s="172">
        <v>14.21</v>
      </c>
      <c r="I5" s="18">
        <f>ROUND(MAX(IF(H5&gt;0,IF(H5&gt;SCORE!$J$6,300-((H5-SCORE!$J$6)*SCORE!$L$6+(SCORE!$Q$6*4)),IF(H5&gt;SCORE!$I$6,(SCORE!$F$6*POWER((SCORE!$G$6-H5),SCORE!$H$6)-(SCORE!$Q$6*10)),(SCORE!$B$6*POWER((SCORE!$C$6-H5),SCORE!$D$6))-SCORE!$Q$6*10)),0),0),0)</f>
        <v>219</v>
      </c>
      <c r="K5" s="17">
        <v>59.88</v>
      </c>
      <c r="L5" s="18">
        <f>ROUND(MAX(IF(K5&gt;0,IF(K5&gt;SCORE!$J$9,300-((K5-SCORE!$J$9)*SCORE!$L$9),(SCORE!$B$9*POWER((SCORE!$C$9-K5),SCORE!$D$9))),0),0),0)</f>
        <v>278</v>
      </c>
      <c r="N5" s="24">
        <v>2</v>
      </c>
      <c r="O5" s="25">
        <v>27.01</v>
      </c>
      <c r="P5" s="18">
        <f>ROUND(MAX(IF(N5&gt;0,IF((N5*60+O5)&gt;SCORE!$J$10,300-(((N5*60+O5)-SCORE!$J$10)*SCORE!$L$10),IF((N5*60+O5)&gt;SCORE!$I$10,SCORE!$F$10*POWER((SCORE!$G$10-(N5*60+O5)),SCORE!$H$10),SCORE!$B$10*POWER((SCORE!$C$10-(N5*60+O5)),SCORE!$D$10)))-(SCORE!$Q$10*6),0),0),0)</f>
        <v>258</v>
      </c>
      <c r="R5" s="1">
        <v>4.2699999999999996</v>
      </c>
      <c r="S5" s="18">
        <f>ROUND(MAX(IF((R5*100)&gt;0,IF((R5*100)&lt;SCORE!$J$25,300+(((R5*100)-SCORE!$J$25)*SCORE!$L$25),IF((R5*100)&lt;SCORE!$I$25,SCORE!$F$25*POWER(((R5*100)-SCORE!$G$25),SCORE!$H$25),SCORE!$B$25*POWER(((R5*100)-SCORE!$C$25),SCORE!$D$25)))-(SCORE!$Q$25*6),0),0),0)</f>
        <v>233</v>
      </c>
      <c r="U5" s="1">
        <v>1.5</v>
      </c>
      <c r="V5" s="18">
        <f>ROUND(MAX(IF(U5&gt;0,IF((U5*100)&lt;SCORE!$J$23,300+(((U5*100)-SCORE!$J$23)*SCORE!$L$23),IF((U5*100)&lt;SCORE!$I$23,SCORE!$F$23*POWER(((U5*100)-SCORE!$G$23),SCORE!$H$23),SCORE!$B$23*POWER(((U5*100)-SCORE!$C$23),SCORE!$D$23))),0),0),0)</f>
        <v>288</v>
      </c>
      <c r="X5" s="1">
        <v>6.68</v>
      </c>
      <c r="Y5" s="18">
        <f>ROUND(MAX(IF(X5&gt;0,IF(X5&lt;SCORE!$J$47,300+((X5-SCORE!$J$47)*SCORE!$L$47),SCORE!$B$47*POWER((X5-SCORE!$C$47),SCORE!$D$47)),0),0),0)</f>
        <v>231</v>
      </c>
      <c r="AA5" s="1">
        <v>14.83</v>
      </c>
      <c r="AB5" s="18">
        <f>ROUND(MAX(IF(AA5&gt;0,IF(AA5&lt;SCORE!$J$50,300+((AA5-SCORE!$J$50)*SCORE!$L$50),SCORE!$B$50*POWER((AA5-SCORE!$C$50),SCORE!$D$50)),0),0),0)</f>
        <v>155</v>
      </c>
    </row>
    <row r="6" spans="1:51" ht="15" customHeight="1" x14ac:dyDescent="0.25">
      <c r="A6" s="22">
        <f>A5+1</f>
        <v>2</v>
      </c>
      <c r="B6" s="11" t="str">
        <f ca="1">IF(A6&lt;=$A$2,INDEX(Athletes!$B$2:$B$101,MATCH($B$2&amp;" - "&amp;A6,Athletes!$E$2:$E$101,0)),"")</f>
        <v>Toby Nixon</v>
      </c>
      <c r="C6" s="18">
        <f ca="1">IF($A6&lt;=$A$2,INDEX(Athletes!$D$2:$D$101,MATCH($B$2&amp;" - "&amp;$A6,Athletes!$E$2:$E$101,0)),"")</f>
        <v>248</v>
      </c>
      <c r="E6" s="135">
        <f ca="1">IF(B6&lt;&gt;"",I6+L6+P6+S6+V6+Y6+AB6,0)</f>
        <v>1830</v>
      </c>
      <c r="F6" s="136">
        <f t="shared" ca="1" si="0"/>
        <v>2</v>
      </c>
      <c r="H6" s="172">
        <v>13.72</v>
      </c>
      <c r="I6" s="18">
        <f>ROUND(MAX(IF(H6&gt;0,IF(H6&gt;SCORE!$J$6,300-((H6-SCORE!$J$6)*SCORE!$L$6+(SCORE!$Q$6*4)),IF(H6&gt;SCORE!$I$6,(SCORE!$F$6*POWER((SCORE!$G$6-H6),SCORE!$H$6)-(SCORE!$Q$6*10)),(SCORE!$B$6*POWER((SCORE!$C$6-H6),SCORE!$D$6))-SCORE!$Q$6*10)),0),0),0)</f>
        <v>242</v>
      </c>
      <c r="K6" s="17">
        <v>58.17</v>
      </c>
      <c r="L6" s="18">
        <f>ROUND(MAX(IF(K6&gt;0,IF(K6&gt;SCORE!$J$9,300-((K6-SCORE!$J$9)*SCORE!$L$9),(SCORE!$B$9*POWER((SCORE!$C$9-K6),SCORE!$D$9))),0),0),0)</f>
        <v>294</v>
      </c>
      <c r="N6" s="24">
        <v>2</v>
      </c>
      <c r="O6" s="25">
        <v>26.31</v>
      </c>
      <c r="P6" s="18">
        <f>ROUND(MAX(IF(N6&gt;0,IF((N6*60+O6)&gt;SCORE!$J$10,300-(((N6*60+O6)-SCORE!$J$10)*SCORE!$L$10),IF((N6*60+O6)&gt;SCORE!$I$10,SCORE!$F$10*POWER((SCORE!$G$10-(N6*60+O6)),SCORE!$H$10),SCORE!$B$10*POWER((SCORE!$C$10-(N6*60+O6)),SCORE!$D$10)))-(SCORE!$Q$10*6),0),0),0)</f>
        <v>261</v>
      </c>
      <c r="R6" s="1">
        <v>4.92</v>
      </c>
      <c r="S6" s="18">
        <f>ROUND(MAX(IF((R6*100)&gt;0,IF((R6*100)&lt;SCORE!$J$25,300+(((R6*100)-SCORE!$J$25)*SCORE!$L$25),IF((R6*100)&lt;SCORE!$I$25,SCORE!$F$25*POWER(((R6*100)-SCORE!$G$25),SCORE!$H$25),SCORE!$B$25*POWER(((R6*100)-SCORE!$C$25),SCORE!$D$25)))-(SCORE!$Q$25*6),0),0),0)</f>
        <v>289</v>
      </c>
      <c r="U6" s="1">
        <v>1.5</v>
      </c>
      <c r="V6" s="18">
        <f>ROUND(MAX(IF(U6&gt;0,IF((U6*100)&lt;SCORE!$J$23,300+(((U6*100)-SCORE!$J$23)*SCORE!$L$23),IF((U6*100)&lt;SCORE!$I$23,SCORE!$F$23*POWER(((U6*100)-SCORE!$G$23),SCORE!$H$23),SCORE!$B$23*POWER(((U6*100)-SCORE!$C$23),SCORE!$D$23))),0),0),0)</f>
        <v>288</v>
      </c>
      <c r="X6" s="1">
        <v>5.83</v>
      </c>
      <c r="Y6" s="18">
        <f>ROUND(MAX(IF(X6&gt;0,IF(X6&lt;SCORE!$J$47,300+((X6-SCORE!$J$47)*SCORE!$L$47),SCORE!$B$47*POWER((X6-SCORE!$C$47),SCORE!$D$47)),0),0),0)</f>
        <v>189</v>
      </c>
      <c r="AA6" s="1">
        <v>21.94</v>
      </c>
      <c r="AB6" s="18">
        <f>ROUND(MAX(IF(AA6&gt;0,IF(AA6&lt;SCORE!$J$50,300+((AA6-SCORE!$J$50)*SCORE!$L$50),SCORE!$B$50*POWER((AA6-SCORE!$C$50),SCORE!$D$50)),0),0),0)</f>
        <v>267</v>
      </c>
    </row>
    <row r="7" spans="1:51" ht="14.5" x14ac:dyDescent="0.25">
      <c r="A7" s="22">
        <f t="shared" ref="A7:A11" si="1">A6+1</f>
        <v>3</v>
      </c>
      <c r="B7" s="11" t="str">
        <f ca="1">IF(A7&lt;=$A$2,INDEX(Athletes!$B$2:$B$101,MATCH($B$2&amp;" - "&amp;A7,Athletes!$E$2:$E$101,0)),"")</f>
        <v>Sammy Jones</v>
      </c>
      <c r="C7" s="18">
        <f ca="1">IF($A7&lt;=$A$2,INDEX(Athletes!$D$2:$D$101,MATCH($B$2&amp;" - "&amp;$A7,Athletes!$E$2:$E$101,0)),"")</f>
        <v>249</v>
      </c>
      <c r="E7" s="135">
        <f ca="1">IF(B7&lt;&gt;"",I7+L7+P7+S7+V7+Y7+AB7,0)</f>
        <v>2023</v>
      </c>
      <c r="F7" s="136">
        <f t="shared" ca="1" si="0"/>
        <v>1</v>
      </c>
      <c r="H7" s="172">
        <v>12.81</v>
      </c>
      <c r="I7" s="18">
        <f>ROUND(MAX(IF(H7&gt;0,IF(H7&gt;SCORE!$J$6,300-((H7-SCORE!$J$6)*SCORE!$L$6+(SCORE!$Q$6*4)),IF(H7&gt;SCORE!$I$6,(SCORE!$F$6*POWER((SCORE!$G$6-H7),SCORE!$H$6)-(SCORE!$Q$6*10)),(SCORE!$B$6*POWER((SCORE!$C$6-H7),SCORE!$D$6))-SCORE!$Q$6*10)),0),0),0)</f>
        <v>284</v>
      </c>
      <c r="K7" s="17">
        <v>56.44</v>
      </c>
      <c r="L7" s="18">
        <f>ROUND(MAX(IF(K7&gt;0,IF(K7&gt;SCORE!$J$9,300-((K7-SCORE!$J$9)*SCORE!$L$9),(SCORE!$B$9*POWER((SCORE!$C$9-K7),SCORE!$D$9))),0),0),0)</f>
        <v>344</v>
      </c>
      <c r="N7" s="24">
        <v>2</v>
      </c>
      <c r="O7" s="25">
        <v>27.23</v>
      </c>
      <c r="P7" s="18">
        <f>ROUND(MAX(IF(N7&gt;0,IF((N7*60+O7)&gt;SCORE!$J$10,300-(((N7*60+O7)-SCORE!$J$10)*SCORE!$L$10),IF((N7*60+O7)&gt;SCORE!$I$10,SCORE!$F$10*POWER((SCORE!$G$10-(N7*60+O7)),SCORE!$H$10),SCORE!$B$10*POWER((SCORE!$C$10-(N7*60+O7)),SCORE!$D$10)))-(SCORE!$Q$10*6),0),0),0)</f>
        <v>257</v>
      </c>
      <c r="R7" s="1">
        <v>4.97</v>
      </c>
      <c r="S7" s="18">
        <f>ROUND(MAX(IF((R7*100)&gt;0,IF((R7*100)&lt;SCORE!$J$25,300+(((R7*100)-SCORE!$J$25)*SCORE!$L$25),IF((R7*100)&lt;SCORE!$I$25,SCORE!$F$25*POWER(((R7*100)-SCORE!$G$25),SCORE!$H$25),SCORE!$B$25*POWER(((R7*100)-SCORE!$C$25),SCORE!$D$25)))-(SCORE!$Q$25*6),0),0),0)</f>
        <v>293</v>
      </c>
      <c r="U7" s="1">
        <v>1.4</v>
      </c>
      <c r="V7" s="18">
        <f>ROUND(MAX(IF(U7&gt;0,IF((U7*100)&lt;SCORE!$J$23,300+(((U7*100)-SCORE!$J$23)*SCORE!$L$23),IF((U7*100)&lt;SCORE!$I$23,SCORE!$F$23*POWER(((U7*100)-SCORE!$G$23),SCORE!$H$23),SCORE!$B$23*POWER(((U7*100)-SCORE!$C$23),SCORE!$D$23))),0),0),0)</f>
        <v>258</v>
      </c>
      <c r="X7" s="1">
        <v>7.24</v>
      </c>
      <c r="Y7" s="18">
        <f>ROUND(MAX(IF(X7&gt;0,IF(X7&lt;SCORE!$J$47,300+((X7-SCORE!$J$47)*SCORE!$L$47),SCORE!$B$47*POWER((X7-SCORE!$C$47),SCORE!$D$47)),0),0),0)</f>
        <v>259</v>
      </c>
      <c r="AA7" s="1">
        <v>25.82</v>
      </c>
      <c r="AB7" s="18">
        <f>ROUND(MAX(IF(AA7&gt;0,IF(AA7&lt;SCORE!$J$50,300+((AA7-SCORE!$J$50)*SCORE!$L$50),SCORE!$B$50*POWER((AA7-SCORE!$C$50),SCORE!$D$50)),0),0),0)</f>
        <v>328</v>
      </c>
    </row>
    <row r="8" spans="1:51" ht="14.5" x14ac:dyDescent="0.25">
      <c r="A8" s="22">
        <f t="shared" si="1"/>
        <v>4</v>
      </c>
      <c r="B8" s="11" t="str">
        <f ca="1">IF(A8&lt;=$A$2,INDEX(Athletes!$B$2:$B$101,MATCH($B$2&amp;" - "&amp;A8,Athletes!$E$2:$E$101,0)),"")</f>
        <v>Glen Petrie</v>
      </c>
      <c r="C8" s="18">
        <f ca="1">IF($A8&lt;=$A$2,INDEX(Athletes!$D$2:$D$101,MATCH($B$2&amp;" - "&amp;$A8,Athletes!$E$2:$E$101,0)),"")</f>
        <v>250</v>
      </c>
      <c r="E8" s="135">
        <f ca="1">IF(B8&lt;&gt;"",I8+L8+P8+S8+V8+Y8+AB8,0)</f>
        <v>1441</v>
      </c>
      <c r="F8" s="136">
        <f t="shared" ca="1" si="0"/>
        <v>4</v>
      </c>
      <c r="H8" s="172">
        <v>13.62</v>
      </c>
      <c r="I8" s="18">
        <f>ROUND(MAX(IF(H8&gt;0,IF(H8&gt;SCORE!$J$6,300-((H8-SCORE!$J$6)*SCORE!$L$6+(SCORE!$Q$6*4)),IF(H8&gt;SCORE!$I$6,(SCORE!$F$6*POWER((SCORE!$G$6-H8),SCORE!$H$6)-(SCORE!$Q$6*10)),(SCORE!$B$6*POWER((SCORE!$C$6-H8),SCORE!$D$6))-SCORE!$Q$6*10)),0),0),0)</f>
        <v>246</v>
      </c>
      <c r="K8" s="17">
        <v>61.94</v>
      </c>
      <c r="L8" s="18">
        <f>ROUND(MAX(IF(K8&gt;0,IF(K8&gt;SCORE!$J$9,300-((K8-SCORE!$J$9)*SCORE!$L$9),(SCORE!$B$9*POWER((SCORE!$C$9-K8),SCORE!$D$9))),0),0),0)</f>
        <v>259</v>
      </c>
      <c r="N8" s="24">
        <v>3</v>
      </c>
      <c r="O8" s="25">
        <v>11.69</v>
      </c>
      <c r="P8" s="18">
        <f>ROUND(MAX(IF(N8&gt;0,IF((N8*60+O8)&gt;SCORE!$J$10,300-(((N8*60+O8)-SCORE!$J$10)*SCORE!$L$10),IF((N8*60+O8)&gt;SCORE!$I$10,SCORE!$F$10*POWER((SCORE!$G$10-(N8*60+O8)),SCORE!$H$10),SCORE!$B$10*POWER((SCORE!$C$10-(N8*60+O8)),SCORE!$D$10)))-(SCORE!$Q$10*6),0),0),0)</f>
        <v>89</v>
      </c>
      <c r="R8" s="1">
        <v>4.6500000000000004</v>
      </c>
      <c r="S8" s="18">
        <f>ROUND(MAX(IF((R8*100)&gt;0,IF((R8*100)&lt;SCORE!$J$25,300+(((R8*100)-SCORE!$J$25)*SCORE!$L$25),IF((R8*100)&lt;SCORE!$I$25,SCORE!$F$25*POWER(((R8*100)-SCORE!$G$25),SCORE!$H$25),SCORE!$B$25*POWER(((R8*100)-SCORE!$C$25),SCORE!$D$25)))-(SCORE!$Q$25*6),0),0),0)</f>
        <v>266</v>
      </c>
      <c r="U8" s="1">
        <v>1.25</v>
      </c>
      <c r="V8" s="18">
        <f>ROUND(MAX(IF(U8&gt;0,IF((U8*100)&lt;SCORE!$J$23,300+(((U8*100)-SCORE!$J$23)*SCORE!$L$23),IF((U8*100)&lt;SCORE!$I$23,SCORE!$F$23*POWER(((U8*100)-SCORE!$G$23),SCORE!$H$23),SCORE!$B$23*POWER(((U8*100)-SCORE!$C$23),SCORE!$D$23))),0),0),0)</f>
        <v>212</v>
      </c>
      <c r="X8" s="1">
        <v>5.84</v>
      </c>
      <c r="Y8" s="18">
        <f>ROUND(MAX(IF(X8&gt;0,IF(X8&lt;SCORE!$J$47,300+((X8-SCORE!$J$47)*SCORE!$L$47),SCORE!$B$47*POWER((X8-SCORE!$C$47),SCORE!$D$47)),0),0),0)</f>
        <v>189</v>
      </c>
      <c r="AA8" s="1">
        <v>16.43</v>
      </c>
      <c r="AB8" s="18">
        <f>ROUND(MAX(IF(AA8&gt;0,IF(AA8&lt;SCORE!$J$50,300+((AA8-SCORE!$J$50)*SCORE!$L$50),SCORE!$B$50*POWER((AA8-SCORE!$C$50),SCORE!$D$50)),0),0),0)</f>
        <v>180</v>
      </c>
    </row>
    <row r="9" spans="1:51" ht="14.5" x14ac:dyDescent="0.25">
      <c r="A9" s="22">
        <f t="shared" si="1"/>
        <v>5</v>
      </c>
      <c r="B9" s="11" t="str">
        <f ca="1">IF(A9&lt;=$A$2,INDEX(Athletes!$B$2:$B$101,MATCH($B$2&amp;" - "&amp;A9,Athletes!$E$2:$E$101,0)),"")</f>
        <v/>
      </c>
      <c r="C9" s="18" t="str">
        <f ca="1">IF($A9&lt;=$A$2,INDEX(Athletes!$D$2:$D$101,MATCH($B$2&amp;" - "&amp;$A9,Athletes!$E$2:$E$101,0)),"")</f>
        <v/>
      </c>
      <c r="E9" s="135">
        <f t="shared" ref="E9:E11" ca="1" si="2">IF(B9&lt;&gt;"",I9+L9+P9+S9+V9+Y9+AB9,0)</f>
        <v>0</v>
      </c>
      <c r="F9" s="136" t="str">
        <f t="shared" ca="1" si="0"/>
        <v/>
      </c>
      <c r="H9" s="17"/>
      <c r="I9" s="18">
        <f>ROUND(MAX(IF(H9&gt;0,IF(H9&gt;SCORE!$J$6,300-((H9-SCORE!$J$6)*SCORE!$L$6+(SCORE!$Q$6*4)),IF(H9&gt;SCORE!$I$6,(SCORE!$F$6*POWER((SCORE!$G$6-H9),SCORE!$H$6)-(SCORE!$Q$6*10)),(SCORE!$B$6*POWER((SCORE!$C$6-H9),SCORE!$D$6))-SCORE!$Q$6*10)),0),0),0)</f>
        <v>0</v>
      </c>
      <c r="K9" s="17"/>
      <c r="L9" s="18">
        <f>ROUND(MAX(IF(K9&gt;0,IF(K9&gt;SCORE!$J$9,300-((K9-SCORE!$J$9)*SCORE!$L$9),(SCORE!$B$9*POWER((SCORE!$C$9-K9),SCORE!$D$9))),0),0),0)</f>
        <v>0</v>
      </c>
      <c r="N9" s="24"/>
      <c r="O9" s="25"/>
      <c r="P9" s="18">
        <f>ROUND(MAX(IF(N9&gt;0,IF((N9*60+O9)&gt;SCORE!$J$10,300-(((N9*60+O9)-SCORE!$J$10)*SCORE!$L$10),IF((N9*60+O9)&gt;SCORE!$I$10,SCORE!$F$10*POWER((SCORE!$G$10-(N9*60+O9)),SCORE!$H$10),SCORE!$B$10*POWER((SCORE!$C$10-(N9*60+O9)),SCORE!$D$10)))-(SCORE!$Q$10*6),0),0),0)</f>
        <v>0</v>
      </c>
      <c r="R9" s="1"/>
      <c r="S9" s="18">
        <f>ROUND(MAX(IF((R9*100)&gt;0,IF((R9*100)&lt;SCORE!$J$25,300+(((R9*100)-SCORE!$J$25)*SCORE!$L$25),IF((R9*100)&lt;SCORE!$I$25,SCORE!$F$25*POWER(((R9*100)-SCORE!$G$25),SCORE!$H$25),SCORE!$B$25*POWER(((R9*100)-SCORE!$C$25),SCORE!$D$25)))-(SCORE!$Q$25*6),0),0),0)</f>
        <v>0</v>
      </c>
      <c r="U9" s="1"/>
      <c r="V9" s="18">
        <f>ROUND(MAX(IF(U9&gt;0,IF((U9*100)&lt;SCORE!$J$23,300+(((U9*100)-SCORE!$J$23)*SCORE!$L$23),IF((U9*100)&lt;SCORE!$I$23,SCORE!$F$23*POWER(((U9*100)-SCORE!$G$23),SCORE!$H$23),SCORE!$B$23*POWER(((U9*100)-SCORE!$C$23),SCORE!$D$23))),0),0),0)</f>
        <v>0</v>
      </c>
      <c r="X9" s="1"/>
      <c r="Y9" s="18">
        <f>ROUND(MAX(IF(X9&gt;0,IF(X9&lt;SCORE!$J$47,300+((X9-SCORE!$J$47)*SCORE!$L$47),SCORE!$B$47*POWER((X9-SCORE!$C$47),SCORE!$D$47)),0),0),0)</f>
        <v>0</v>
      </c>
      <c r="AA9" s="1"/>
      <c r="AB9" s="18">
        <f>ROUND(MAX(IF(AA9&gt;0,IF(AA9&lt;SCORE!$J$50,300+((AA9-SCORE!$J$50)*SCORE!$L$50),SCORE!$B$50*POWER((AA9-SCORE!$C$50),SCORE!$D$50)),0),0),0)</f>
        <v>0</v>
      </c>
    </row>
    <row r="10" spans="1:51" ht="14.5" x14ac:dyDescent="0.25">
      <c r="A10" s="22">
        <f t="shared" si="1"/>
        <v>6</v>
      </c>
      <c r="B10" s="11" t="str">
        <f ca="1">IF(A10&lt;=$A$2,INDEX(Athletes!$B$2:$B$101,MATCH($B$2&amp;" - "&amp;A10,Athletes!$E$2:$E$101,0)),"")</f>
        <v/>
      </c>
      <c r="C10" s="18" t="str">
        <f ca="1">IF($A10&lt;=$A$2,INDEX(Athletes!$D$2:$D$101,MATCH($B$2&amp;" - "&amp;$A10,Athletes!$E$2:$E$101,0)),"")</f>
        <v/>
      </c>
      <c r="E10" s="135">
        <f t="shared" ca="1" si="2"/>
        <v>0</v>
      </c>
      <c r="F10" s="136" t="str">
        <f t="shared" ca="1" si="0"/>
        <v/>
      </c>
      <c r="H10" s="17"/>
      <c r="I10" s="18">
        <f>ROUND(MAX(IF(H10&gt;0,IF(H10&gt;SCORE!$J$6,300-((H10-SCORE!$J$6)*SCORE!$L$6+(SCORE!$Q$6*4)),IF(H10&gt;SCORE!$I$6,(SCORE!$F$6*POWER((SCORE!$G$6-H10),SCORE!$H$6)-(SCORE!$Q$6*10)),(SCORE!$B$6*POWER((SCORE!$C$6-H10),SCORE!$D$6))-SCORE!$Q$6*10)),0),0),0)</f>
        <v>0</v>
      </c>
      <c r="K10" s="17"/>
      <c r="L10" s="18">
        <f>ROUND(MAX(IF(K10&gt;0,IF(K10&gt;SCORE!$J$9,300-((K10-SCORE!$J$9)*SCORE!$L$9),(SCORE!$B$9*POWER((SCORE!$C$9-K10),SCORE!$D$9))),0),0),0)</f>
        <v>0</v>
      </c>
      <c r="N10" s="24"/>
      <c r="O10" s="25"/>
      <c r="P10" s="18">
        <f>ROUND(MAX(IF(N10&gt;0,IF((N10*60+O10)&gt;SCORE!$J$10,300-(((N10*60+O10)-SCORE!$J$10)*SCORE!$L$10),IF((N10*60+O10)&gt;SCORE!$I$10,SCORE!$F$10*POWER((SCORE!$G$10-(N10*60+O10)),SCORE!$H$10),SCORE!$B$10*POWER((SCORE!$C$10-(N10*60+O10)),SCORE!$D$10)))-(SCORE!$Q$10*6),0),0),0)</f>
        <v>0</v>
      </c>
      <c r="R10" s="1"/>
      <c r="S10" s="18">
        <f>ROUND(MAX(IF((R10*100)&gt;0,IF((R10*100)&lt;SCORE!$J$25,300+(((R10*100)-SCORE!$J$25)*SCORE!$L$25),IF((R10*100)&lt;SCORE!$I$25,SCORE!$F$25*POWER(((R10*100)-SCORE!$G$25),SCORE!$H$25),SCORE!$B$25*POWER(((R10*100)-SCORE!$C$25),SCORE!$D$25)))-(SCORE!$Q$25*6),0),0),0)</f>
        <v>0</v>
      </c>
      <c r="U10" s="1"/>
      <c r="V10" s="18">
        <f>ROUND(MAX(IF(U10&gt;0,IF((U10*100)&lt;SCORE!$J$23,300+(((U10*100)-SCORE!$J$23)*SCORE!$L$23),IF((U10*100)&lt;SCORE!$I$23,SCORE!$F$23*POWER(((U10*100)-SCORE!$G$23),SCORE!$H$23),SCORE!$B$23*POWER(((U10*100)-SCORE!$C$23),SCORE!$D$23))),0),0),0)</f>
        <v>0</v>
      </c>
      <c r="X10" s="1"/>
      <c r="Y10" s="18">
        <f>ROUND(MAX(IF(X10&gt;0,IF(X10&lt;SCORE!$J$47,300+((X10-SCORE!$J$47)*SCORE!$L$47),SCORE!$B$47*POWER((X10-SCORE!$C$47),SCORE!$D$47)),0),0),0)</f>
        <v>0</v>
      </c>
      <c r="AA10" s="1"/>
      <c r="AB10" s="18">
        <f>ROUND(MAX(IF(AA10&gt;0,IF(AA10&lt;SCORE!$J$50,300+((AA10-SCORE!$J$50)*SCORE!$L$50),SCORE!$B$50*POWER((AA10-SCORE!$C$50),SCORE!$D$50)),0),0),0)</f>
        <v>0</v>
      </c>
    </row>
    <row r="11" spans="1:51" ht="15" thickBot="1" x14ac:dyDescent="0.3">
      <c r="A11" s="160">
        <f t="shared" si="1"/>
        <v>7</v>
      </c>
      <c r="B11" s="161" t="str">
        <f ca="1">IF(A11&lt;=$A$2,INDEX(Athletes!$B$2:$B$101,MATCH($B$2&amp;" - "&amp;A11,Athletes!$E$2:$E$101,0)),"")</f>
        <v/>
      </c>
      <c r="C11" s="162" t="str">
        <f ca="1">IF($A11&lt;=$A$2,INDEX(Athletes!$D$2:$D$101,MATCH($B$2&amp;" - "&amp;$A11,Athletes!$E$2:$E$101,0)),"")</f>
        <v/>
      </c>
      <c r="E11" s="160">
        <f t="shared" ca="1" si="2"/>
        <v>0</v>
      </c>
      <c r="F11" s="162" t="str">
        <f t="shared" ca="1" si="0"/>
        <v/>
      </c>
      <c r="H11" s="163"/>
      <c r="I11" s="162">
        <f>ROUND(MAX(IF(H11&gt;0,IF(H11&gt;SCORE!$J$6,300-((H11-SCORE!$J$6)*SCORE!$L$6+(SCORE!$Q$6*4)),IF(H11&gt;SCORE!$I$6,(SCORE!$F$6*POWER((SCORE!$G$6-H11),SCORE!$H$6)-(SCORE!$Q$6*10)),(SCORE!$B$6*POWER((SCORE!$C$6-H11),SCORE!$D$6))-SCORE!$Q$6*10)),0),0),0)</f>
        <v>0</v>
      </c>
      <c r="K11" s="163"/>
      <c r="L11" s="162">
        <f>ROUND(MAX(IF(K11&gt;0,IF(K11&gt;SCORE!$J$9,300-((K11-SCORE!$J$9)*SCORE!$L$9),(SCORE!$B$9*POWER((SCORE!$C$9-K11),SCORE!$D$9))),0),0),0)</f>
        <v>0</v>
      </c>
      <c r="N11" s="165"/>
      <c r="O11" s="166"/>
      <c r="P11" s="162">
        <f>ROUND(MAX(IF(N11&gt;0,IF((N11*60+O11)&gt;SCORE!$J$10,300-(((N11*60+O11)-SCORE!$J$10)*SCORE!$L$10),IF((N11*60+O11)&gt;SCORE!$I$10,SCORE!$F$10*POWER((SCORE!$G$10-(N11*60+O11)),SCORE!$H$10),SCORE!$B$10*POWER((SCORE!$C$10-(N11*60+O11)),SCORE!$D$10)))-(SCORE!$Q$10*6),0),0),0)</f>
        <v>0</v>
      </c>
      <c r="R11" s="164"/>
      <c r="S11" s="162">
        <f>ROUND(MAX(IF((R11*100)&gt;0,IF((R11*100)&lt;SCORE!$J$25,300+(((R11*100)-SCORE!$J$25)*SCORE!$L$25),IF((R11*100)&lt;SCORE!$I$25,SCORE!$F$25*POWER(((R11*100)-SCORE!$G$25),SCORE!$H$25),SCORE!$B$25*POWER(((R11*100)-SCORE!$C$25),SCORE!$D$25)))-(SCORE!$Q$25*6),0),0),0)</f>
        <v>0</v>
      </c>
      <c r="U11" s="164"/>
      <c r="V11" s="162">
        <f>ROUND(MAX(IF(U11&gt;0,IF((U11*100)&lt;SCORE!$J$23,300+(((U11*100)-SCORE!$J$23)*SCORE!$L$23),IF((U11*100)&lt;SCORE!$I$23,SCORE!$F$23*POWER(((U11*100)-SCORE!$G$23),SCORE!$H$23),SCORE!$B$23*POWER(((U11*100)-SCORE!$C$23),SCORE!$D$23))),0),0),0)</f>
        <v>0</v>
      </c>
      <c r="X11" s="164"/>
      <c r="Y11" s="162">
        <f>ROUND(MAX(IF(X11&gt;0,IF(X11&lt;SCORE!$J$47,300+((X11-SCORE!$J$47)*SCORE!$L$47),SCORE!$B$47*POWER((X11-SCORE!$C$47),SCORE!$D$47)),0),0),0)</f>
        <v>0</v>
      </c>
      <c r="AA11" s="164"/>
      <c r="AB11" s="162">
        <f>ROUND(MAX(IF(AA11&gt;0,IF(AA11&lt;SCORE!$J$50,300+((AA11-SCORE!$J$50)*SCORE!$L$50),SCORE!$B$50*POWER((AA11-SCORE!$C$50),SCORE!$D$50)),0),0),0)</f>
        <v>0</v>
      </c>
    </row>
  </sheetData>
  <dataConsolidate/>
  <mergeCells count="15">
    <mergeCell ref="AA2:AB2"/>
    <mergeCell ref="I3:I4"/>
    <mergeCell ref="L3:L4"/>
    <mergeCell ref="N3:O3"/>
    <mergeCell ref="P3:P4"/>
    <mergeCell ref="S3:S4"/>
    <mergeCell ref="V3:V4"/>
    <mergeCell ref="Y3:Y4"/>
    <mergeCell ref="AB3:AB4"/>
    <mergeCell ref="H2:I2"/>
    <mergeCell ref="K2:L2"/>
    <mergeCell ref="N2:P2"/>
    <mergeCell ref="R2:S2"/>
    <mergeCell ref="U2:V2"/>
    <mergeCell ref="X2:Y2"/>
  </mergeCells>
  <pageMargins left="0.74803149606299213" right="0.74803149606299213" top="0.51181102362204722" bottom="0.78740157480314965" header="0.51181102362204722" footer="0.51181102362204722"/>
  <pageSetup paperSize="9" scale="55" orientation="landscape" r:id="rId1"/>
  <headerFooter alignWithMargins="0">
    <oddFooter>&amp;L
&amp;A&amp;C
&amp;P&amp;R&amp;F
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tabColor rgb="FFFFFFCC"/>
    <outlinePr summaryBelow="0"/>
    <pageSetUpPr autoPageBreaks="0"/>
  </sheetPr>
  <dimension ref="A1:AB13"/>
  <sheetViews>
    <sheetView showGridLines="0" zoomScale="70" zoomScaleNormal="70" workbookViewId="0">
      <selection activeCell="H19" sqref="H19"/>
    </sheetView>
  </sheetViews>
  <sheetFormatPr defaultColWidth="9.1796875" defaultRowHeight="12.5" x14ac:dyDescent="0.25"/>
  <cols>
    <col min="1" max="1" width="10.7265625" style="13" customWidth="1"/>
    <col min="2" max="2" width="25.7265625" style="13" customWidth="1"/>
    <col min="3" max="3" width="10.7265625" style="13" customWidth="1"/>
    <col min="4" max="4" width="2.7265625" style="14" customWidth="1"/>
    <col min="5" max="5" width="10.7265625" style="13" customWidth="1"/>
    <col min="6" max="6" width="8.7265625" style="13" customWidth="1"/>
    <col min="7" max="7" width="2.7265625" style="14" customWidth="1"/>
    <col min="8" max="8" width="12.7265625" style="13" customWidth="1"/>
    <col min="9" max="9" width="9.1796875" style="13" customWidth="1"/>
    <col min="10" max="10" width="2.7265625" style="14" customWidth="1"/>
    <col min="11" max="11" width="12.7265625" style="13" customWidth="1"/>
    <col min="12" max="12" width="9.1796875" style="13" customWidth="1"/>
    <col min="13" max="13" width="2.7265625" style="14" customWidth="1"/>
    <col min="14" max="14" width="8.7265625" style="13" customWidth="1"/>
    <col min="15" max="15" width="10.7265625" style="13" customWidth="1"/>
    <col min="16" max="16" width="9.1796875" style="13" customWidth="1"/>
    <col min="17" max="17" width="2.7265625" style="14" customWidth="1"/>
    <col min="18" max="18" width="13.26953125" style="13" customWidth="1"/>
    <col min="19" max="19" width="9.1796875" style="13" customWidth="1"/>
    <col min="20" max="20" width="2.7265625" style="14" customWidth="1"/>
    <col min="21" max="21" width="13.26953125" style="13" customWidth="1"/>
    <col min="22" max="22" width="9.1796875" style="13" customWidth="1"/>
    <col min="23" max="23" width="2.7265625" style="14" customWidth="1"/>
    <col min="24" max="24" width="13.26953125" style="13" customWidth="1"/>
    <col min="25" max="25" width="9.1796875" style="13" customWidth="1"/>
    <col min="26" max="26" width="2.7265625" style="14" customWidth="1"/>
    <col min="27" max="27" width="13.26953125" style="13" customWidth="1"/>
    <col min="28" max="28" width="9.1796875" style="13" customWidth="1"/>
    <col min="29" max="16384" width="9.1796875" style="13"/>
  </cols>
  <sheetData>
    <row r="1" spans="1:28" s="14" customFormat="1" ht="13" thickBot="1" x14ac:dyDescent="0.3">
      <c r="I1" s="137"/>
    </row>
    <row r="2" spans="1:28" ht="15.5" x14ac:dyDescent="0.35">
      <c r="A2" s="23">
        <f ca="1">COUNTIF(Athletes!$C$2:$C$101,RIGHT(CELL("filename",A2),LEN(CELL("filename",A2))-FIND("]",CELL("filename",A2),1)))</f>
        <v>8</v>
      </c>
      <c r="B2" s="23" t="str">
        <f ca="1">RIGHT(CELL("filename",A2),LEN(CELL("filename",A2))-FIND("]",CELL("filename",A2),1))</f>
        <v>U20 - M</v>
      </c>
      <c r="C2" s="14"/>
      <c r="E2" s="14"/>
      <c r="F2" s="14"/>
      <c r="H2" s="176" t="s">
        <v>105</v>
      </c>
      <c r="I2" s="177"/>
      <c r="K2" s="176" t="s">
        <v>106</v>
      </c>
      <c r="L2" s="177"/>
      <c r="N2" s="176" t="s">
        <v>107</v>
      </c>
      <c r="O2" s="182"/>
      <c r="P2" s="177"/>
      <c r="R2" s="176" t="s">
        <v>22</v>
      </c>
      <c r="S2" s="177"/>
      <c r="U2" s="176" t="s">
        <v>21</v>
      </c>
      <c r="V2" s="177"/>
      <c r="X2" s="176" t="s">
        <v>34</v>
      </c>
      <c r="Y2" s="177"/>
      <c r="AA2" s="176" t="s">
        <v>24</v>
      </c>
      <c r="AB2" s="177"/>
    </row>
    <row r="3" spans="1:28" ht="15" customHeight="1" thickBot="1" x14ac:dyDescent="0.3">
      <c r="A3" s="14"/>
      <c r="B3" s="14"/>
      <c r="C3" s="14"/>
      <c r="E3" s="14"/>
      <c r="F3" s="14"/>
      <c r="H3" s="138" t="s">
        <v>18</v>
      </c>
      <c r="I3" s="178" t="s">
        <v>19</v>
      </c>
      <c r="K3" s="138" t="s">
        <v>18</v>
      </c>
      <c r="L3" s="178" t="s">
        <v>19</v>
      </c>
      <c r="N3" s="186" t="s">
        <v>18</v>
      </c>
      <c r="O3" s="187"/>
      <c r="P3" s="178" t="s">
        <v>19</v>
      </c>
      <c r="R3" s="138" t="s">
        <v>18</v>
      </c>
      <c r="S3" s="178" t="s">
        <v>19</v>
      </c>
      <c r="U3" s="138" t="s">
        <v>18</v>
      </c>
      <c r="V3" s="178" t="s">
        <v>19</v>
      </c>
      <c r="X3" s="138" t="s">
        <v>18</v>
      </c>
      <c r="Y3" s="178" t="s">
        <v>19</v>
      </c>
      <c r="AA3" s="138" t="s">
        <v>18</v>
      </c>
      <c r="AB3" s="178" t="s">
        <v>19</v>
      </c>
    </row>
    <row r="4" spans="1:28" ht="20.149999999999999" customHeight="1" x14ac:dyDescent="0.25">
      <c r="A4" s="19" t="s">
        <v>6</v>
      </c>
      <c r="B4" s="20" t="s">
        <v>3</v>
      </c>
      <c r="C4" s="21" t="s">
        <v>26</v>
      </c>
      <c r="E4" s="19" t="s">
        <v>27</v>
      </c>
      <c r="F4" s="21" t="s">
        <v>36</v>
      </c>
      <c r="H4" s="138" t="s">
        <v>32</v>
      </c>
      <c r="I4" s="178"/>
      <c r="K4" s="138" t="s">
        <v>32</v>
      </c>
      <c r="L4" s="178"/>
      <c r="N4" s="138" t="s">
        <v>33</v>
      </c>
      <c r="O4" s="139" t="s">
        <v>32</v>
      </c>
      <c r="P4" s="178"/>
      <c r="R4" s="138" t="s">
        <v>35</v>
      </c>
      <c r="S4" s="178"/>
      <c r="U4" s="138" t="s">
        <v>35</v>
      </c>
      <c r="V4" s="178"/>
      <c r="X4" s="138" t="s">
        <v>35</v>
      </c>
      <c r="Y4" s="178"/>
      <c r="AA4" s="138" t="s">
        <v>35</v>
      </c>
      <c r="AB4" s="178"/>
    </row>
    <row r="5" spans="1:28" ht="14.5" x14ac:dyDescent="0.25">
      <c r="A5" s="22">
        <v>1</v>
      </c>
      <c r="B5" s="11" t="str">
        <f ca="1">IF($A5&lt;=$A$2,INDEX(Athletes!$B$2:$B$101,MATCH($B$2&amp;" - "&amp;$A5,Athletes!$E$2:$E$101,0)),"")</f>
        <v>Fraser McKenzie</v>
      </c>
      <c r="C5" s="18">
        <f ca="1">IF($A5&lt;=$A$2,INDEX(Athletes!$D$2:$D$101,MATCH($B$2&amp;" - "&amp;$A5,Athletes!$E$2:$E$101,0)),"")</f>
        <v>251</v>
      </c>
      <c r="E5" s="135">
        <f ca="1">IF(B5&lt;&gt;"",I5+L5+P5+S5+V5+Y5+AB5,0)</f>
        <v>1028</v>
      </c>
      <c r="F5" s="136">
        <f ca="1">IF(B5&lt;&gt;"",RANK(E5,$E$5:$E$13),"")</f>
        <v>6</v>
      </c>
      <c r="H5" s="172">
        <v>14.03</v>
      </c>
      <c r="I5" s="18">
        <f>ROUND(MAX(IF(H5&gt;0,IF(H5&gt;SCORE!$J$6,300-((H5-SCORE!$J$6)*SCORE!$L$6+(SCORE!$Q$6*4)),IF(H5&gt;SCORE!$I$6,(SCORE!$F$6*POWER((SCORE!$G$6-H5),SCORE!$H$6)-(SCORE!$Q$6*10)),(SCORE!$B$6*POWER((SCORE!$C$6-H5),SCORE!$D$6))-SCORE!$Q$6*10)),0),0),0)</f>
        <v>228</v>
      </c>
      <c r="K5" s="172">
        <v>73.83</v>
      </c>
      <c r="L5" s="18">
        <f>ROUND(MAX(IF(K5&gt;0,IF(K5&gt;SCORE!$J$9,300-((K5-SCORE!$J$9)*SCORE!$L$9),(SCORE!$B$9*POWER((SCORE!$C$9-K5),SCORE!$D$9))),0),0),0)</f>
        <v>149</v>
      </c>
      <c r="N5" s="24">
        <v>7</v>
      </c>
      <c r="O5" s="175" t="s">
        <v>169</v>
      </c>
      <c r="P5" s="18">
        <f>ROUND(MAX(IF(N5&gt;0,IF((N5*60+O5)&gt;SCORE!$J$11,300-(((N5*60+O5)-SCORE!$J$11)*SCORE!$L$11),IF((N5*60+O5)&gt;SCORE!$I$11,SCORE!$F$11*POWER((SCORE!$G$11-(N5*60+O5)),SCORE!$H$11),SCORE!$B$11*POWER((SCORE!$C$11-(N5*60+O5)),SCORE!$D$11)))-(SCORE!$Q$11*6),0),0),0)</f>
        <v>9</v>
      </c>
      <c r="R5" s="1">
        <v>4.3899999999999997</v>
      </c>
      <c r="S5" s="18">
        <f>ROUND(MAX(IF((R5*100)&gt;0,IF((R5*100)&lt;SCORE!$J$25,300+(((R5*100)-SCORE!$J$25)*SCORE!$L$25),IF((R5*100)&lt;SCORE!$I$25,SCORE!$F$25*POWER(((R5*100)-SCORE!$G$25),SCORE!$H$25),SCORE!$B$25*POWER(((R5*100)-SCORE!$C$25),SCORE!$D$25)))-(SCORE!$Q$25*6),0),0),0)</f>
        <v>243</v>
      </c>
      <c r="U5" s="1"/>
      <c r="V5" s="18">
        <f>ROUND(MAX(IF(U5&gt;0,IF((U5*100)&lt;SCORE!$J$23,300+(((U5*100)-SCORE!$J$23)*SCORE!$L$23),IF((U5*100)&lt;SCORE!$I$23,SCORE!$F$23*POWER(((U5*100)-SCORE!$G$23),SCORE!$H$23),SCORE!$B$23*POWER(((U5*100)-SCORE!$C$23),SCORE!$D$23))),0),0),0)</f>
        <v>0</v>
      </c>
      <c r="X5" s="1">
        <v>6.1</v>
      </c>
      <c r="Y5" s="18">
        <f>ROUND(MAX(IF(X5&gt;0,IF(X5&lt;SCORE!$J$38,300+((X5-SCORE!$J$38)*SCORE!$L$38),SCORE!$B$38*POWER((X5-SCORE!$C$38),SCORE!$D$38)),0),0),0)</f>
        <v>230</v>
      </c>
      <c r="AA5" s="1">
        <v>14.31</v>
      </c>
      <c r="AB5" s="18">
        <f>ROUND(MAX(IF(AA5&gt;0,IF(AA5&lt;SCORE!$J$30,300+((AA5-SCORE!$J$30)*SCORE!$L$30),SCORE!$B$30*POWER((AA5-SCORE!$C$30),SCORE!$D$30)),0),0),0)</f>
        <v>169</v>
      </c>
    </row>
    <row r="6" spans="1:28" ht="15" customHeight="1" x14ac:dyDescent="0.25">
      <c r="A6" s="22">
        <f>A5+1</f>
        <v>2</v>
      </c>
      <c r="B6" s="11" t="str">
        <f ca="1">IF(A6&lt;=$A$2,INDEX(Athletes!$B$2:$B$101,MATCH($B$2&amp;" - "&amp;A6,Athletes!$E$2:$E$101,0)),"")</f>
        <v>Callum Meldrum</v>
      </c>
      <c r="C6" s="18">
        <f ca="1">IF($A6&lt;=$A$2,INDEX(Athletes!$D$2:$D$101,MATCH($B$2&amp;" - "&amp;$A6,Athletes!$E$2:$E$101,0)),"")</f>
        <v>252</v>
      </c>
      <c r="E6" s="135">
        <f ca="1">IF(B6&lt;&gt;"",I6+L6+P6+S6+V6+Y6+AB6,0)</f>
        <v>2382</v>
      </c>
      <c r="F6" s="136">
        <f ca="1">IF(B6&lt;&gt;"",RANK(E6,$E$5:$E$13),"")</f>
        <v>1</v>
      </c>
      <c r="H6" s="172">
        <v>12.76</v>
      </c>
      <c r="I6" s="18">
        <f>ROUND(MAX(IF(H6&gt;0,IF(H6&gt;SCORE!$J$6,300-((H6-SCORE!$J$6)*SCORE!$L$6+(SCORE!$Q$6*4)),IF(H6&gt;SCORE!$I$6,(SCORE!$F$6*POWER((SCORE!$G$6-H6),SCORE!$H$6)-(SCORE!$Q$6*10)),(SCORE!$B$6*POWER((SCORE!$C$6-H6),SCORE!$D$6))-SCORE!$Q$6*10)),0),0),0)</f>
        <v>286</v>
      </c>
      <c r="K6" s="172">
        <v>58.83</v>
      </c>
      <c r="L6" s="18">
        <f>ROUND(MAX(IF(K6&gt;0,IF(K6&gt;SCORE!$J$9,300-((K6-SCORE!$J$9)*SCORE!$L$9),(SCORE!$B$9*POWER((SCORE!$C$9-K6),SCORE!$D$9))),0),0),0)</f>
        <v>288</v>
      </c>
      <c r="N6" s="24">
        <v>5</v>
      </c>
      <c r="O6" s="173">
        <v>26.75</v>
      </c>
      <c r="P6" s="18">
        <f>ROUND(MAX(IF(N6&gt;0,IF((N6*60+O6)&gt;SCORE!$J$11,300-(((N6*60+O6)-SCORE!$J$11)*SCORE!$L$11),IF((N6*60+O6)&gt;SCORE!$I$11,SCORE!$F$11*POWER((SCORE!$G$11-(N6*60+O6)),SCORE!$H$11),SCORE!$B$11*POWER((SCORE!$C$11-(N6*60+O6)),SCORE!$D$11)))-(SCORE!$Q$11*6),0),0),0)</f>
        <v>202</v>
      </c>
      <c r="R6" s="1">
        <v>5.43</v>
      </c>
      <c r="S6" s="18">
        <f>ROUND(MAX(IF((R6*100)&gt;0,IF((R6*100)&lt;SCORE!$J$25,300+(((R6*100)-SCORE!$J$25)*SCORE!$L$25),IF((R6*100)&lt;SCORE!$I$25,SCORE!$F$25*POWER(((R6*100)-SCORE!$G$25),SCORE!$H$25),SCORE!$B$25*POWER(((R6*100)-SCORE!$C$25),SCORE!$D$25)))-(SCORE!$Q$25*6),0),0),0)</f>
        <v>378</v>
      </c>
      <c r="U6" s="1">
        <v>1.45</v>
      </c>
      <c r="V6" s="18">
        <f>ROUND(MAX(IF(U6&gt;0,IF((U6*100)&lt;SCORE!$J$23,300+(((U6*100)-SCORE!$J$23)*SCORE!$L$23),IF((U6*100)&lt;SCORE!$I$23,SCORE!$F$23*POWER(((U6*100)-SCORE!$G$23),SCORE!$H$23),SCORE!$B$23*POWER(((U6*100)-SCORE!$C$23),SCORE!$D$23))),0),0),0)</f>
        <v>273</v>
      </c>
      <c r="X6" s="1">
        <v>10.5</v>
      </c>
      <c r="Y6" s="18">
        <f>ROUND(MAX(IF(X6&gt;0,IF(X6&lt;SCORE!$J$38,300+((X6-SCORE!$J$38)*SCORE!$L$38),SCORE!$B$38*POWER((X6-SCORE!$C$38),SCORE!$D$38)),0),0),0)</f>
        <v>483</v>
      </c>
      <c r="AA6" s="1">
        <v>32.47</v>
      </c>
      <c r="AB6" s="18">
        <f>ROUND(MAX(IF(AA6&gt;0,IF(AA6&lt;SCORE!$J$30,300+((AA6-SCORE!$J$30)*SCORE!$L$30),SCORE!$B$30*POWER((AA6-SCORE!$C$30),SCORE!$D$30)),0),0),0)</f>
        <v>472</v>
      </c>
    </row>
    <row r="7" spans="1:28" ht="14.5" x14ac:dyDescent="0.25">
      <c r="A7" s="167">
        <f t="shared" ref="A7" si="0">A6+1</f>
        <v>3</v>
      </c>
      <c r="B7" s="168" t="str">
        <f ca="1">IF(A7&lt;=$A$2,INDEX(Athletes!$B$2:$B$101,MATCH($B$2&amp;" - "&amp;A7,Athletes!$E$2:$E$101,0)),"")</f>
        <v>Sean Aitken</v>
      </c>
      <c r="C7" s="169">
        <f ca="1">IF($A7&lt;=$A$2,INDEX(Athletes!$D$2:$D$101,MATCH($B$2&amp;" - "&amp;$A7,Athletes!$E$2:$E$101,0)),"")</f>
        <v>253</v>
      </c>
      <c r="E7" s="135">
        <f ca="1">IF(B7&lt;&gt;"",I7+L7+P7+S7+V7+Y7+AB7,0)</f>
        <v>1583</v>
      </c>
      <c r="F7" s="136">
        <f ca="1">IF(B7&lt;&gt;"",RANK(E7,$E$5:$E$13),"")</f>
        <v>3</v>
      </c>
      <c r="H7" s="172">
        <v>13.61</v>
      </c>
      <c r="I7" s="169">
        <f>ROUND(MAX(IF(H7&gt;0,IF(H7&gt;SCORE!$J$6,300-((H7-SCORE!$J$6)*SCORE!$L$6+(SCORE!$Q$6*4)),IF(H7&gt;SCORE!$I$6,(SCORE!$F$6*POWER((SCORE!$G$6-H7),SCORE!$H$6)-(SCORE!$Q$6*10)),(SCORE!$B$6*POWER((SCORE!$C$6-H7),SCORE!$D$6))-SCORE!$Q$6*10)),0),0),0)</f>
        <v>247</v>
      </c>
      <c r="K7" s="172">
        <v>59.1</v>
      </c>
      <c r="L7" s="169">
        <f>ROUND(MAX(IF(K7&gt;0,IF(K7&gt;SCORE!$J$9,300-((K7-SCORE!$J$9)*SCORE!$L$9),(SCORE!$B$9*POWER((SCORE!$C$9-K7),SCORE!$D$9))),0),0),0)</f>
        <v>286</v>
      </c>
      <c r="N7" s="24">
        <v>5</v>
      </c>
      <c r="O7" s="173">
        <v>8.77</v>
      </c>
      <c r="P7" s="169">
        <f>ROUND(MAX(IF(N7&gt;0,IF((N7*60+O7)&gt;SCORE!$J$11,300-(((N7*60+O7)-SCORE!$J$11)*SCORE!$L$11),IF((N7*60+O7)&gt;SCORE!$I$11,SCORE!$F$11*POWER((SCORE!$G$11-(N7*60+O7)),SCORE!$H$11),SCORE!$B$11*POWER((SCORE!$C$11-(N7*60+O7)),SCORE!$D$11)))-(SCORE!$Q$11*6),0),0),0)</f>
        <v>239</v>
      </c>
      <c r="R7" s="1">
        <v>4.1399999999999997</v>
      </c>
      <c r="S7" s="169">
        <f>ROUND(MAX(IF((R7*100)&gt;0,IF((R7*100)&lt;SCORE!$J$25,300+(((R7*100)-SCORE!$J$25)*SCORE!$L$25),IF((R7*100)&lt;SCORE!$I$25,SCORE!$F$25*POWER(((R7*100)-SCORE!$G$25),SCORE!$H$25),SCORE!$B$25*POWER(((R7*100)-SCORE!$C$25),SCORE!$D$25)))-(SCORE!$Q$25*6),0),0),0)</f>
        <v>222</v>
      </c>
      <c r="U7" s="1">
        <v>1.35</v>
      </c>
      <c r="V7" s="169">
        <f>ROUND(MAX(IF(U7&gt;0,IF((U7*100)&lt;SCORE!$J$23,300+(((U7*100)-SCORE!$J$23)*SCORE!$L$23),IF((U7*100)&lt;SCORE!$I$23,SCORE!$F$23*POWER(((U7*100)-SCORE!$G$23),SCORE!$H$23),SCORE!$B$23*POWER(((U7*100)-SCORE!$C$23),SCORE!$D$23))),0),0),0)</f>
        <v>242</v>
      </c>
      <c r="X7" s="1">
        <v>5.56</v>
      </c>
      <c r="Y7" s="169">
        <f>ROUND(MAX(IF(X7&gt;0,IF(X7&lt;SCORE!$J$38,300+((X7-SCORE!$J$38)*SCORE!$L$38),SCORE!$B$38*POWER((X7-SCORE!$C$38),SCORE!$D$38)),0),0),0)</f>
        <v>200</v>
      </c>
      <c r="AA7" s="1">
        <v>13.1</v>
      </c>
      <c r="AB7" s="169">
        <f>ROUND(MAX(IF(AA7&gt;0,IF(AA7&lt;SCORE!$J$30,300+((AA7-SCORE!$J$30)*SCORE!$L$30),SCORE!$B$30*POWER((AA7-SCORE!$C$30),SCORE!$D$30)),0),0),0)</f>
        <v>147</v>
      </c>
    </row>
    <row r="8" spans="1:28" ht="14.5" x14ac:dyDescent="0.25">
      <c r="A8" s="167">
        <v>4</v>
      </c>
      <c r="B8" s="168" t="str">
        <f ca="1">IF(A8&lt;=$A$2,INDEX(Athletes!$B$2:$B$101,MATCH($B$2&amp;" - "&amp;A8,Athletes!$E$2:$E$101,0)),"")</f>
        <v>Alasdair Meldrum</v>
      </c>
      <c r="C8" s="169">
        <f ca="1">IF($A8&lt;=$A$2,INDEX(Athletes!$D$2:$D$101,MATCH($B$2&amp;" - "&amp;$A8,Athletes!$E$2:$E$101,0)),"")</f>
        <v>254</v>
      </c>
      <c r="E8" s="135">
        <f t="shared" ref="E8" ca="1" si="1">IF(B8&lt;&gt;"",I8+L8+P8+S8+V8+Y8+AB8,0)</f>
        <v>1453</v>
      </c>
      <c r="F8" s="136">
        <f ca="1">IF(B8&lt;&gt;"",RANK(E8,$E$5:$E$13),"")</f>
        <v>4</v>
      </c>
      <c r="H8" s="172">
        <v>15.24</v>
      </c>
      <c r="I8" s="169">
        <f>ROUND(MAX(IF(H8&gt;0,IF(H8&gt;SCORE!$J$6,300-((H8-SCORE!$J$6)*SCORE!$L$6+(SCORE!$Q$6*4)),IF(H8&gt;SCORE!$I$6,(SCORE!$F$6*POWER((SCORE!$G$6-H8),SCORE!$H$6)-(SCORE!$Q$6*10)),(SCORE!$B$6*POWER((SCORE!$C$6-H8),SCORE!$D$6))-SCORE!$Q$6*10)),0),0),0)</f>
        <v>172</v>
      </c>
      <c r="K8" s="172">
        <v>65.819999999999993</v>
      </c>
      <c r="L8" s="169">
        <f>ROUND(MAX(IF(K8&gt;0,IF(K8&gt;SCORE!$J$9,300-((K8-SCORE!$J$9)*SCORE!$L$9),(SCORE!$B$9*POWER((SCORE!$C$9-K8),SCORE!$D$9))),0),0),0)</f>
        <v>224</v>
      </c>
      <c r="N8" s="24">
        <v>5</v>
      </c>
      <c r="O8" s="173">
        <v>10.83</v>
      </c>
      <c r="P8" s="169">
        <f>ROUND(MAX(IF(N8&gt;0,IF((N8*60+O8)&gt;SCORE!$J$11,300-(((N8*60+O8)-SCORE!$J$11)*SCORE!$L$11),IF((N8*60+O8)&gt;SCORE!$I$11,SCORE!$F$11*POWER((SCORE!$G$11-(N8*60+O8)),SCORE!$H$11),SCORE!$B$11*POWER((SCORE!$C$11-(N8*60+O8)),SCORE!$D$11)))-(SCORE!$Q$11*6),0),0),0)</f>
        <v>235</v>
      </c>
      <c r="R8" s="1">
        <v>3.64</v>
      </c>
      <c r="S8" s="169">
        <f>ROUND(MAX(IF((R8*100)&gt;0,IF((R8*100)&lt;SCORE!$J$25,300+(((R8*100)-SCORE!$J$25)*SCORE!$L$25),IF((R8*100)&lt;SCORE!$I$25,SCORE!$F$25*POWER(((R8*100)-SCORE!$G$25),SCORE!$H$25),SCORE!$B$25*POWER(((R8*100)-SCORE!$C$25),SCORE!$D$25)))-(SCORE!$Q$25*6),0),0),0)</f>
        <v>179</v>
      </c>
      <c r="U8" s="1">
        <v>1.1499999999999999</v>
      </c>
      <c r="V8" s="169">
        <f>ROUND(MAX(IF(U8&gt;0,IF((U8*100)&lt;SCORE!$J$23,300+(((U8*100)-SCORE!$J$23)*SCORE!$L$23),IF((U8*100)&lt;SCORE!$I$23,SCORE!$F$23*POWER(((U8*100)-SCORE!$G$23),SCORE!$H$23),SCORE!$B$23*POWER(((U8*100)-SCORE!$C$23),SCORE!$D$23))),0),0),0)</f>
        <v>182</v>
      </c>
      <c r="X8" s="1">
        <v>6.74</v>
      </c>
      <c r="Y8" s="169">
        <f>ROUND(MAX(IF(X8&gt;0,IF(X8&lt;SCORE!$J$38,300+((X8-SCORE!$J$38)*SCORE!$L$38),SCORE!$B$38*POWER((X8-SCORE!$C$38),SCORE!$D$38)),0),0),0)</f>
        <v>266</v>
      </c>
      <c r="AA8" s="1">
        <v>15.75</v>
      </c>
      <c r="AB8" s="169">
        <f>ROUND(MAX(IF(AA8&gt;0,IF(AA8&lt;SCORE!$J$30,300+((AA8-SCORE!$J$30)*SCORE!$L$30),SCORE!$B$30*POWER((AA8-SCORE!$C$30),SCORE!$D$30)),0),0),0)</f>
        <v>195</v>
      </c>
    </row>
    <row r="9" spans="1:28" ht="14.5" x14ac:dyDescent="0.25">
      <c r="A9" s="167">
        <v>5</v>
      </c>
      <c r="B9" s="168" t="str">
        <f ca="1">IF(A9&lt;=$A$2,INDEX(Athletes!$B$2:$B$101,MATCH($B$2&amp;" - "&amp;A9,Athletes!$E$2:$E$101,0)),"")</f>
        <v>Stuart McLean</v>
      </c>
      <c r="C9" s="169">
        <f ca="1">IF($A9&lt;=$A$2,INDEX(Athletes!$D$2:$D$101,MATCH($B$2&amp;" - "&amp;$A9,Athletes!$E$2:$E$101,0)),"")</f>
        <v>255</v>
      </c>
      <c r="E9" s="135">
        <f ca="1">IF(B9&lt;&gt;"",I9+L9+P9+S9+V9+Y9+AB9,0)</f>
        <v>1375</v>
      </c>
      <c r="F9" s="136">
        <f ca="1">IF(B9&lt;&gt;"",RANK(E9,$E$5:$E$13),"")</f>
        <v>5</v>
      </c>
      <c r="H9" s="172">
        <v>15.32</v>
      </c>
      <c r="I9" s="169">
        <f>ROUND(MAX(IF(H9&gt;0,IF(H9&gt;SCORE!$J$6,300-((H9-SCORE!$J$6)*SCORE!$L$6+(SCORE!$Q$6*4)),IF(H9&gt;SCORE!$I$6,(SCORE!$F$6*POWER((SCORE!$G$6-H9),SCORE!$H$6)-(SCORE!$Q$6*10)),(SCORE!$B$6*POWER((SCORE!$C$6-H9),SCORE!$D$6))-SCORE!$Q$6*10)),0),0),0)</f>
        <v>169</v>
      </c>
      <c r="K9" s="172">
        <v>67.239999999999995</v>
      </c>
      <c r="L9" s="169">
        <f>ROUND(MAX(IF(K9&gt;0,IF(K9&gt;SCORE!$J$9,300-((K9-SCORE!$J$9)*SCORE!$L$9),(SCORE!$B$9*POWER((SCORE!$C$9-K9),SCORE!$D$9))),0),0),0)</f>
        <v>210</v>
      </c>
      <c r="N9" s="24">
        <v>5</v>
      </c>
      <c r="O9" s="173">
        <v>17.329999999999998</v>
      </c>
      <c r="P9" s="169">
        <f>ROUND(MAX(IF(N9&gt;0,IF((N9*60+O9)&gt;SCORE!$J$11,300-(((N9*60+O9)-SCORE!$J$11)*SCORE!$L$11),IF((N9*60+O9)&gt;SCORE!$I$11,SCORE!$F$11*POWER((SCORE!$G$11-(N9*60+O9)),SCORE!$H$11),SCORE!$B$11*POWER((SCORE!$C$11-(N9*60+O9)),SCORE!$D$11)))-(SCORE!$Q$11*6),0),0),0)</f>
        <v>221</v>
      </c>
      <c r="R9" s="1">
        <v>3.92</v>
      </c>
      <c r="S9" s="169">
        <f>ROUND(MAX(IF((R9*100)&gt;0,IF((R9*100)&lt;SCORE!$J$25,300+(((R9*100)-SCORE!$J$25)*SCORE!$L$25),IF((R9*100)&lt;SCORE!$I$25,SCORE!$F$25*POWER(((R9*100)-SCORE!$G$25),SCORE!$H$25),SCORE!$B$25*POWER(((R9*100)-SCORE!$C$25),SCORE!$D$25)))-(SCORE!$Q$25*6),0),0),0)</f>
        <v>203</v>
      </c>
      <c r="U9" s="1">
        <v>1.2</v>
      </c>
      <c r="V9" s="169">
        <f>ROUND(MAX(IF(U9&gt;0,IF((U9*100)&lt;SCORE!$J$23,300+(((U9*100)-SCORE!$J$23)*SCORE!$L$23),IF((U9*100)&lt;SCORE!$I$23,SCORE!$F$23*POWER(((U9*100)-SCORE!$G$23),SCORE!$H$23),SCORE!$B$23*POWER(((U9*100)-SCORE!$C$23),SCORE!$D$23))),0),0),0)</f>
        <v>197</v>
      </c>
      <c r="X9" s="1">
        <v>6.46</v>
      </c>
      <c r="Y9" s="169">
        <f>ROUND(MAX(IF(X9&gt;0,IF(X9&lt;SCORE!$J$38,300+((X9-SCORE!$J$38)*SCORE!$L$38),SCORE!$B$38*POWER((X9-SCORE!$C$38),SCORE!$D$38)),0),0),0)</f>
        <v>250</v>
      </c>
      <c r="AA9" s="1">
        <v>11.86</v>
      </c>
      <c r="AB9" s="169">
        <f>ROUND(MAX(IF(AA9&gt;0,IF(AA9&lt;SCORE!$J$30,300+((AA9-SCORE!$J$30)*SCORE!$L$30),SCORE!$B$30*POWER((AA9-SCORE!$C$30),SCORE!$D$30)),0),0),0)</f>
        <v>125</v>
      </c>
    </row>
    <row r="10" spans="1:28" ht="14.5" x14ac:dyDescent="0.25">
      <c r="A10" s="167">
        <v>6</v>
      </c>
      <c r="B10" s="168" t="str">
        <f ca="1">IF(A10&lt;=$A$2,INDEX(Athletes!$B$2:$B$101,MATCH($B$2&amp;" - "&amp;A10,Athletes!$E$2:$E$101,0)),"")</f>
        <v>Jordan Tennent</v>
      </c>
      <c r="C10" s="169">
        <f ca="1">IF($A10&lt;=$A$2,INDEX(Athletes!$D$2:$D$101,MATCH($B$2&amp;" - "&amp;$A10,Athletes!$E$2:$E$101,0)),"")</f>
        <v>256</v>
      </c>
      <c r="E10" s="135">
        <f ca="1">IF(B10&lt;&gt;"",I10+L10+P10+S10+V10+Y10+AB10,0)</f>
        <v>1731</v>
      </c>
      <c r="F10" s="136">
        <f t="shared" ref="F10:F13" ca="1" si="2">IF(B10&lt;&gt;"",RANK(E10,$E$5:$E$13),"")</f>
        <v>2</v>
      </c>
      <c r="H10" s="172">
        <v>12.5</v>
      </c>
      <c r="I10" s="169">
        <f>ROUND(MAX(IF(H10&gt;0,IF(H10&gt;SCORE!$J$6,300-((H10-SCORE!$J$6)*SCORE!$L$6+(SCORE!$Q$6*4)),IF(H10&gt;SCORE!$I$6,(SCORE!$F$6*POWER((SCORE!$G$6-H10),SCORE!$H$6)-(SCORE!$Q$6*10)),(SCORE!$B$6*POWER((SCORE!$C$6-H10),SCORE!$D$6))-SCORE!$Q$6*10)),0),0),0)</f>
        <v>298</v>
      </c>
      <c r="K10" s="172">
        <v>57.04</v>
      </c>
      <c r="L10" s="169">
        <f>ROUND(MAX(IF(K10&gt;0,IF(K10&gt;SCORE!$J$9,300-((K10-SCORE!$J$9)*SCORE!$L$9),(SCORE!$B$9*POWER((SCORE!$C$9-K10),SCORE!$D$9))),0),0),0)</f>
        <v>320</v>
      </c>
      <c r="N10" s="24">
        <v>5</v>
      </c>
      <c r="O10" s="173">
        <v>39.299999999999997</v>
      </c>
      <c r="P10" s="169">
        <f>ROUND(MAX(IF(N10&gt;0,IF((N10*60+O10)&gt;SCORE!$J$11,300-(((N10*60+O10)-SCORE!$J$11)*SCORE!$L$11),IF((N10*60+O10)&gt;SCORE!$I$11,SCORE!$F$11*POWER((SCORE!$G$11-(N10*60+O10)),SCORE!$H$11),SCORE!$B$11*POWER((SCORE!$C$11-(N10*60+O10)),SCORE!$D$11)))-(SCORE!$Q$11*6),0),0),0)</f>
        <v>176</v>
      </c>
      <c r="R10" s="1">
        <v>4.38</v>
      </c>
      <c r="S10" s="169">
        <f>ROUND(MAX(IF((R10*100)&gt;0,IF((R10*100)&lt;SCORE!$J$25,300+(((R10*100)-SCORE!$J$25)*SCORE!$L$25),IF((R10*100)&lt;SCORE!$I$25,SCORE!$F$25*POWER(((R10*100)-SCORE!$G$25),SCORE!$H$25),SCORE!$B$25*POWER(((R10*100)-SCORE!$C$25),SCORE!$D$25)))-(SCORE!$Q$25*6),0),0),0)</f>
        <v>243</v>
      </c>
      <c r="U10" s="1">
        <v>1.3</v>
      </c>
      <c r="V10" s="169">
        <f>ROUND(MAX(IF(U10&gt;0,IF((U10*100)&lt;SCORE!$J$23,300+(((U10*100)-SCORE!$J$23)*SCORE!$L$23),IF((U10*100)&lt;SCORE!$I$23,SCORE!$F$23*POWER(((U10*100)-SCORE!$G$23),SCORE!$H$23),SCORE!$B$23*POWER(((U10*100)-SCORE!$C$23),SCORE!$D$23))),0),0),0)</f>
        <v>227</v>
      </c>
      <c r="X10" s="1">
        <v>7.36</v>
      </c>
      <c r="Y10" s="169">
        <f>ROUND(MAX(IF(X10&gt;0,IF(X10&lt;SCORE!$J$38,300+((X10-SCORE!$J$38)*SCORE!$L$38),SCORE!$B$38*POWER((X10-SCORE!$C$38),SCORE!$D$38)),0),0),0)</f>
        <v>300</v>
      </c>
      <c r="AA10" s="1">
        <v>14.21</v>
      </c>
      <c r="AB10" s="169">
        <f>ROUND(MAX(IF(AA10&gt;0,IF(AA10&lt;SCORE!$J$30,300+((AA10-SCORE!$J$30)*SCORE!$L$30),SCORE!$B$30*POWER((AA10-SCORE!$C$30),SCORE!$D$30)),0),0),0)</f>
        <v>167</v>
      </c>
    </row>
    <row r="11" spans="1:28" ht="14.5" x14ac:dyDescent="0.25">
      <c r="A11" s="167">
        <v>7</v>
      </c>
      <c r="B11" s="168" t="str">
        <f ca="1">IF(A11&lt;=$A$2,INDEX(Athletes!$B$2:$B$101,MATCH($B$2&amp;" - "&amp;A11,Athletes!$E$2:$E$101,0)),"")</f>
        <v>Stuart Brockie</v>
      </c>
      <c r="C11" s="169">
        <f ca="1">IF($A11&lt;=$A$2,INDEX(Athletes!$D$2:$D$101,MATCH($B$2&amp;" - "&amp;$A11,Athletes!$E$2:$E$101,0)),"")</f>
        <v>257</v>
      </c>
      <c r="E11" s="135">
        <f ca="1">IF(B11&lt;&gt;"",I11+L11+P11+S11+V11+Y11+AB11,0)</f>
        <v>0</v>
      </c>
      <c r="F11" s="136">
        <f t="shared" ca="1" si="2"/>
        <v>8</v>
      </c>
      <c r="H11" s="17"/>
      <c r="I11" s="169">
        <f>ROUND(MAX(IF(H11&gt;0,IF(H11&gt;SCORE!$J$6,300-((H11-SCORE!$J$6)*SCORE!$L$6+(SCORE!$Q$6*4)),IF(H11&gt;SCORE!$I$6,(SCORE!$F$6*POWER((SCORE!$G$6-H11),SCORE!$H$6)-(SCORE!$Q$6*10)),(SCORE!$B$6*POWER((SCORE!$C$6-H11),SCORE!$D$6))-SCORE!$Q$6*10)),0),0),0)</f>
        <v>0</v>
      </c>
      <c r="K11" s="172"/>
      <c r="L11" s="169">
        <f>ROUND(MAX(IF(K11&gt;0,IF(K11&gt;SCORE!$J$9,300-((K11-SCORE!$J$9)*SCORE!$L$9),(SCORE!$B$9*POWER((SCORE!$C$9-K11),SCORE!$D$9))),0),0),0)</f>
        <v>0</v>
      </c>
      <c r="N11" s="24"/>
      <c r="O11" s="173"/>
      <c r="P11" s="169">
        <f>ROUND(MAX(IF(N11&gt;0,IF((N11*60+O11)&gt;SCORE!$J$11,300-(((N11*60+O11)-SCORE!$J$11)*SCORE!$L$11),IF((N11*60+O11)&gt;SCORE!$I$11,SCORE!$F$11*POWER((SCORE!$G$11-(N11*60+O11)),SCORE!$H$11),SCORE!$B$11*POWER((SCORE!$C$11-(N11*60+O11)),SCORE!$D$11)))-(SCORE!$Q$11*6),0),0),0)</f>
        <v>0</v>
      </c>
      <c r="R11" s="1"/>
      <c r="S11" s="169">
        <f>ROUND(MAX(IF((R11*100)&gt;0,IF((R11*100)&lt;SCORE!$J$25,300+(((R11*100)-SCORE!$J$25)*SCORE!$L$25),IF((R11*100)&lt;SCORE!$I$25,SCORE!$F$25*POWER(((R11*100)-SCORE!$G$25),SCORE!$H$25),SCORE!$B$25*POWER(((R11*100)-SCORE!$C$25),SCORE!$D$25)))-(SCORE!$Q$25*6),0),0),0)</f>
        <v>0</v>
      </c>
      <c r="U11" s="1"/>
      <c r="V11" s="169">
        <f>ROUND(MAX(IF(U11&gt;0,IF((U11*100)&lt;SCORE!$J$23,300+(((U11*100)-SCORE!$J$23)*SCORE!$L$23),IF((U11*100)&lt;SCORE!$I$23,SCORE!$F$23*POWER(((U11*100)-SCORE!$G$23),SCORE!$H$23),SCORE!$B$23*POWER(((U11*100)-SCORE!$C$23),SCORE!$D$23))),0),0),0)</f>
        <v>0</v>
      </c>
      <c r="X11" s="1"/>
      <c r="Y11" s="169">
        <f>ROUND(MAX(IF(X11&gt;0,IF(X11&lt;SCORE!$J$38,300+((X11-SCORE!$J$38)*SCORE!$L$38),SCORE!$B$38*POWER((X11-SCORE!$C$38),SCORE!$D$38)),0),0),0)</f>
        <v>0</v>
      </c>
      <c r="AA11" s="1"/>
      <c r="AB11" s="169">
        <f>ROUND(MAX(IF(AA11&gt;0,IF(AA11&lt;SCORE!$J$30,300+((AA11-SCORE!$J$30)*SCORE!$L$30),SCORE!$B$30*POWER((AA11-SCORE!$C$30),SCORE!$D$30)),0),0),0)</f>
        <v>0</v>
      </c>
    </row>
    <row r="12" spans="1:28" ht="14.5" x14ac:dyDescent="0.25">
      <c r="A12" s="167">
        <v>8</v>
      </c>
      <c r="B12" s="168" t="str">
        <f ca="1">IF(A12&lt;=$A$2,INDEX(Athletes!$B$2:$B$101,MATCH($B$2&amp;" - "&amp;A12,Athletes!$E$2:$E$101,0)),"")</f>
        <v>Stewart McColm</v>
      </c>
      <c r="C12" s="169">
        <f ca="1">IF($A12&lt;=$A$2,INDEX(Athletes!$D$2:$D$101,MATCH($B$2&amp;" - "&amp;$A12,Athletes!$E$2:$E$101,0)),"")</f>
        <v>266</v>
      </c>
      <c r="E12" s="135">
        <f t="shared" ref="E12" ca="1" si="3">IF(B12&lt;&gt;"",I12+L12+P12+S12+V12+Y12+AB12,0)</f>
        <v>309</v>
      </c>
      <c r="F12" s="136">
        <f t="shared" ca="1" si="2"/>
        <v>7</v>
      </c>
      <c r="H12" s="17"/>
      <c r="I12" s="169">
        <f>ROUND(MAX(IF(H12&gt;0,IF(H12&gt;SCORE!$J$6,300-((H12-SCORE!$J$6)*SCORE!$L$6+(SCORE!$Q$6*4)),IF(H12&gt;SCORE!$I$6,(SCORE!$F$6*POWER((SCORE!$G$6-H12),SCORE!$H$6)-(SCORE!$Q$6*10)),(SCORE!$B$6*POWER((SCORE!$C$6-H12),SCORE!$D$6))-SCORE!$Q$6*10)),0),0),0)</f>
        <v>0</v>
      </c>
      <c r="K12" s="172">
        <v>83.63</v>
      </c>
      <c r="L12" s="169">
        <f>ROUND(MAX(IF(K12&gt;0,IF(K12&gt;SCORE!$J$9,300-((K12-SCORE!$J$9)*SCORE!$L$9),(SCORE!$B$9*POWER((SCORE!$C$9-K12),SCORE!$D$9))),0),0),0)</f>
        <v>59</v>
      </c>
      <c r="N12" s="24">
        <v>6</v>
      </c>
      <c r="O12" s="173">
        <v>24.82</v>
      </c>
      <c r="P12" s="169">
        <f>ROUND(MAX(IF(N12&gt;0,IF((N12*60+O12)&gt;SCORE!$J$11,300-(((N12*60+O12)-SCORE!$J$11)*SCORE!$L$11),IF((N12*60+O12)&gt;SCORE!$I$11,SCORE!$F$11*POWER((SCORE!$G$11-(N12*60+O12)),SCORE!$H$11),SCORE!$B$11*POWER((SCORE!$C$11-(N12*60+O12)),SCORE!$D$11)))-(SCORE!$Q$11*6),0),0),0)</f>
        <v>83</v>
      </c>
      <c r="R12" s="1"/>
      <c r="S12" s="169">
        <f>ROUND(MAX(IF((R12*100)&gt;0,IF((R12*100)&lt;SCORE!$J$25,300+(((R12*100)-SCORE!$J$25)*SCORE!$L$25),IF((R12*100)&lt;SCORE!$I$25,SCORE!$F$25*POWER(((R12*100)-SCORE!$G$25),SCORE!$H$25),SCORE!$B$25*POWER(((R12*100)-SCORE!$C$25),SCORE!$D$25)))-(SCORE!$Q$25*6),0),0),0)</f>
        <v>0</v>
      </c>
      <c r="U12" s="1">
        <v>1.1000000000000001</v>
      </c>
      <c r="V12" s="169">
        <f>ROUND(MAX(IF(U12&gt;0,IF((U12*100)&lt;SCORE!$J$23,300+(((U12*100)-SCORE!$J$23)*SCORE!$L$23),IF((U12*100)&lt;SCORE!$I$23,SCORE!$F$23*POWER(((U12*100)-SCORE!$G$23),SCORE!$H$23),SCORE!$B$23*POWER(((U12*100)-SCORE!$C$23),SCORE!$D$23))),0),0),0)</f>
        <v>167</v>
      </c>
      <c r="X12" s="1"/>
      <c r="Y12" s="169">
        <f>ROUND(MAX(IF(X12&gt;0,IF(X12&lt;SCORE!$J$38,300+((X12-SCORE!$J$38)*SCORE!$L$38),SCORE!$B$38*POWER((X12-SCORE!$C$38),SCORE!$D$38)),0),0),0)</f>
        <v>0</v>
      </c>
      <c r="AA12" s="1"/>
      <c r="AB12" s="169">
        <f>ROUND(MAX(IF(AA12&gt;0,IF(AA12&lt;SCORE!$J$30,300+((AA12-SCORE!$J$30)*SCORE!$L$30),SCORE!$B$30*POWER((AA12-SCORE!$C$30),SCORE!$D$30)),0),0),0)</f>
        <v>0</v>
      </c>
    </row>
    <row r="13" spans="1:28" ht="15" thickBot="1" x14ac:dyDescent="0.3">
      <c r="A13" s="160">
        <v>9</v>
      </c>
      <c r="B13" s="168" t="str">
        <f ca="1">IF(A13&lt;=$A$2,INDEX(Athletes!$B$2:$B$101,MATCH($B$2&amp;" - "&amp;A13,Athletes!$E$2:$E$101,0)),"")</f>
        <v/>
      </c>
      <c r="C13" s="169" t="str">
        <f ca="1">IF($A13&lt;=$A$2,INDEX(Athletes!$D$2:$D$101,MATCH($B$2&amp;" - "&amp;$A13,Athletes!$E$2:$E$101,0)),"")</f>
        <v/>
      </c>
      <c r="E13" s="135">
        <f ca="1">IF(B13&lt;&gt;"",I13+L13+P13+S13+V13+Y13+AB13,0)</f>
        <v>0</v>
      </c>
      <c r="F13" s="136" t="str">
        <f t="shared" ca="1" si="2"/>
        <v/>
      </c>
      <c r="H13" s="163"/>
      <c r="I13" s="162">
        <f>ROUND(MAX(IF(H13&gt;0,IF(H13&gt;SCORE!$J$6,300-((H13-SCORE!$J$6)*SCORE!$L$6+(SCORE!$Q$6*4)),IF(H13&gt;SCORE!$I$6,(SCORE!$F$6*POWER((SCORE!$G$6-H13),SCORE!$H$6)-(SCORE!$Q$6*10)),(SCORE!$B$6*POWER((SCORE!$C$6-H13),SCORE!$D$6))-SCORE!$Q$6*10)),0),0),0)</f>
        <v>0</v>
      </c>
      <c r="K13" s="163"/>
      <c r="L13" s="162">
        <f>ROUND(MAX(IF(K13&gt;0,IF(K13&gt;SCORE!$J$9,300-((K13-SCORE!$J$9)*SCORE!$L$9),(SCORE!$B$9*POWER((SCORE!$C$9-K13),SCORE!$D$9))),0),0),0)</f>
        <v>0</v>
      </c>
      <c r="N13" s="165"/>
      <c r="O13" s="166"/>
      <c r="P13" s="162">
        <f>ROUND(MAX(IF(N13&gt;0,IF((N13*60+O13)&gt;SCORE!$J$11,300-(((N13*60+O13)-SCORE!$J$11)*SCORE!$L$11),IF((N13*60+O13)&gt;SCORE!$I$11,SCORE!$F$11*POWER((SCORE!$G$11-(N13*60+O13)),SCORE!$H$11),SCORE!$B$11*POWER((SCORE!$C$11-(N13*60+O13)),SCORE!$D$11)))-(SCORE!$Q$11*6),0),0),0)</f>
        <v>0</v>
      </c>
      <c r="R13" s="164"/>
      <c r="S13" s="162">
        <f>ROUND(MAX(IF((R13*100)&gt;0,IF((R13*100)&lt;SCORE!$J$25,300+(((R13*100)-SCORE!$J$25)*SCORE!$L$25),IF((R13*100)&lt;SCORE!$I$25,SCORE!$F$25*POWER(((R13*100)-SCORE!$G$25),SCORE!$H$25),SCORE!$B$25*POWER(((R13*100)-SCORE!$C$25),SCORE!$D$25)))-(SCORE!$Q$25*6),0),0),0)</f>
        <v>0</v>
      </c>
      <c r="U13" s="164"/>
      <c r="V13" s="162">
        <f>ROUND(MAX(IF(U13&gt;0,IF((U13*100)&lt;SCORE!$J$23,300+(((U13*100)-SCORE!$J$23)*SCORE!$L$23),IF((U13*100)&lt;SCORE!$I$23,SCORE!$F$23*POWER(((U13*100)-SCORE!$G$23),SCORE!$H$23),SCORE!$B$23*POWER(((U13*100)-SCORE!$C$23),SCORE!$D$23))),0),0),0)</f>
        <v>0</v>
      </c>
      <c r="X13" s="164"/>
      <c r="Y13" s="162">
        <f>ROUND(MAX(IF(X13&gt;0,IF(X13&lt;SCORE!$J$38,300+((X13-SCORE!$J$38)*SCORE!$L$38),SCORE!$B$38*POWER((X13-SCORE!$C$38),SCORE!$D$38)),0),0),0)</f>
        <v>0</v>
      </c>
      <c r="AA13" s="164"/>
      <c r="AB13" s="162">
        <f>ROUND(MAX(IF(AA13&gt;0,IF(AA13&lt;SCORE!$J$30,300+((AA13-SCORE!$J$30)*SCORE!$L$30),SCORE!$B$30*POWER((AA13-SCORE!$C$30),SCORE!$D$30)),0),0),0)</f>
        <v>0</v>
      </c>
    </row>
  </sheetData>
  <dataConsolidate/>
  <mergeCells count="15">
    <mergeCell ref="AA2:AB2"/>
    <mergeCell ref="I3:I4"/>
    <mergeCell ref="L3:L4"/>
    <mergeCell ref="N3:O3"/>
    <mergeCell ref="P3:P4"/>
    <mergeCell ref="S3:S4"/>
    <mergeCell ref="V3:V4"/>
    <mergeCell ref="Y3:Y4"/>
    <mergeCell ref="AB3:AB4"/>
    <mergeCell ref="H2:I2"/>
    <mergeCell ref="K2:L2"/>
    <mergeCell ref="N2:P2"/>
    <mergeCell ref="R2:S2"/>
    <mergeCell ref="U2:V2"/>
    <mergeCell ref="X2:Y2"/>
  </mergeCells>
  <pageMargins left="0.74803149606299213" right="0.74803149606299213" top="0.51181102362204722" bottom="0.78740157480314965" header="0.51181102362204722" footer="0.51181102362204722"/>
  <pageSetup paperSize="9" scale="55" orientation="landscape" r:id="rId1"/>
  <headerFooter alignWithMargins="0">
    <oddFooter>&amp;L
&amp;A&amp;C
&amp;P&amp;R&amp;F
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theme="1"/>
  </sheetPr>
  <dimension ref="A1:AX121"/>
  <sheetViews>
    <sheetView showGridLines="0" zoomScaleNormal="100" workbookViewId="0">
      <selection sqref="A1:AK1"/>
    </sheetView>
  </sheetViews>
  <sheetFormatPr defaultColWidth="9.1796875" defaultRowHeight="14.5" x14ac:dyDescent="0.35"/>
  <cols>
    <col min="1" max="1" width="18" style="26" customWidth="1"/>
    <col min="2" max="13" width="23.7265625" style="26" hidden="1" customWidth="1"/>
    <col min="14" max="19" width="12.26953125" style="26" customWidth="1"/>
    <col min="20" max="20" width="18" style="59" customWidth="1"/>
    <col min="21" max="21" width="23.7265625" style="59" hidden="1" customWidth="1"/>
    <col min="22" max="32" width="23.7265625" style="26" hidden="1" customWidth="1"/>
    <col min="33" max="37" width="12.26953125" style="26" customWidth="1"/>
    <col min="38" max="39" width="0" style="26" hidden="1" customWidth="1"/>
    <col min="40" max="40" width="5.26953125" style="26" hidden="1" customWidth="1"/>
    <col min="41" max="41" width="20.453125" style="26" hidden="1" customWidth="1"/>
    <col min="42" max="42" width="8.26953125" style="26" customWidth="1"/>
    <col min="43" max="43" width="9.1796875" style="26"/>
    <col min="44" max="44" width="8.453125" style="26" customWidth="1"/>
    <col min="45" max="45" width="7.26953125" style="26" customWidth="1"/>
    <col min="46" max="46" width="5.26953125" style="26" customWidth="1"/>
    <col min="47" max="47" width="19.1796875" style="26" customWidth="1"/>
    <col min="48" max="50" width="9.1796875" style="26"/>
    <col min="51" max="51" width="14.54296875" style="26" customWidth="1"/>
    <col min="52" max="16384" width="9.1796875" style="26"/>
  </cols>
  <sheetData>
    <row r="1" spans="1:50" ht="30" x14ac:dyDescent="0.6">
      <c r="A1" s="188" t="s">
        <v>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</row>
    <row r="2" spans="1:50" ht="17.5" x14ac:dyDescent="0.35">
      <c r="A2" s="189" t="s">
        <v>41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27"/>
      <c r="T2" s="189" t="s">
        <v>42</v>
      </c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</row>
    <row r="3" spans="1:50" x14ac:dyDescent="0.35">
      <c r="A3" s="28"/>
      <c r="B3" s="29" t="s">
        <v>8</v>
      </c>
      <c r="C3" s="29" t="s">
        <v>9</v>
      </c>
      <c r="D3" s="29" t="s">
        <v>10</v>
      </c>
      <c r="E3" s="29"/>
      <c r="F3" s="29" t="s">
        <v>11</v>
      </c>
      <c r="G3" s="29" t="s">
        <v>12</v>
      </c>
      <c r="H3" s="29" t="s">
        <v>13</v>
      </c>
      <c r="I3" s="30" t="s">
        <v>14</v>
      </c>
      <c r="J3" s="30" t="s">
        <v>15</v>
      </c>
      <c r="K3" s="30" t="s">
        <v>16</v>
      </c>
      <c r="L3" s="30" t="s">
        <v>17</v>
      </c>
      <c r="M3" s="31"/>
      <c r="N3" s="190" t="s">
        <v>18</v>
      </c>
      <c r="O3" s="190"/>
      <c r="P3" s="32"/>
      <c r="Q3" s="32"/>
      <c r="R3" s="33" t="s">
        <v>19</v>
      </c>
      <c r="S3" s="34"/>
      <c r="T3" s="35"/>
      <c r="U3" s="36" t="s">
        <v>8</v>
      </c>
      <c r="V3" s="36" t="s">
        <v>9</v>
      </c>
      <c r="W3" s="36" t="s">
        <v>10</v>
      </c>
      <c r="X3" s="36"/>
      <c r="Y3" s="36" t="s">
        <v>11</v>
      </c>
      <c r="Z3" s="36" t="s">
        <v>12</v>
      </c>
      <c r="AA3" s="36" t="s">
        <v>13</v>
      </c>
      <c r="AB3" s="36" t="s">
        <v>43</v>
      </c>
      <c r="AC3" s="30" t="s">
        <v>15</v>
      </c>
      <c r="AD3" s="30" t="s">
        <v>16</v>
      </c>
      <c r="AE3" s="30" t="s">
        <v>17</v>
      </c>
      <c r="AF3" s="36"/>
      <c r="AG3" s="191" t="s">
        <v>18</v>
      </c>
      <c r="AH3" s="191"/>
      <c r="AI3" s="37"/>
      <c r="AJ3" s="37"/>
      <c r="AK3" s="38" t="s">
        <v>19</v>
      </c>
    </row>
    <row r="4" spans="1:50" x14ac:dyDescent="0.35">
      <c r="A4" s="39" t="s">
        <v>44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1"/>
      <c r="N4" s="42" t="s">
        <v>45</v>
      </c>
      <c r="O4" s="42" t="s">
        <v>46</v>
      </c>
      <c r="P4" s="41"/>
      <c r="Q4" s="42" t="s">
        <v>47</v>
      </c>
      <c r="R4" s="41"/>
      <c r="S4" s="34"/>
      <c r="T4" s="43" t="s">
        <v>44</v>
      </c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5" t="s">
        <v>45</v>
      </c>
      <c r="AH4" s="45" t="s">
        <v>46</v>
      </c>
      <c r="AI4" s="44"/>
      <c r="AJ4" s="45" t="s">
        <v>47</v>
      </c>
      <c r="AK4" s="46"/>
    </row>
    <row r="5" spans="1:50" x14ac:dyDescent="0.35">
      <c r="A5" s="47">
        <v>60</v>
      </c>
      <c r="B5" s="48">
        <v>2.1832699999999999E-7</v>
      </c>
      <c r="C5" s="48">
        <v>18</v>
      </c>
      <c r="D5" s="48">
        <v>9.2058</v>
      </c>
      <c r="E5" s="48"/>
      <c r="F5" s="48">
        <v>3.5832700000000003E-4</v>
      </c>
      <c r="G5" s="48">
        <v>16</v>
      </c>
      <c r="H5" s="48">
        <v>6.6604999999999999</v>
      </c>
      <c r="I5" s="40">
        <v>7.4</v>
      </c>
      <c r="J5" s="49">
        <v>8.25</v>
      </c>
      <c r="K5" s="49">
        <v>12.5</v>
      </c>
      <c r="L5" s="48">
        <f>300/(K5-J5)</f>
        <v>70.588235294117652</v>
      </c>
      <c r="M5" s="41"/>
      <c r="N5" s="41"/>
      <c r="O5" s="50">
        <v>7.4</v>
      </c>
      <c r="P5" s="50">
        <f>O5</f>
        <v>7.4</v>
      </c>
      <c r="Q5" s="50"/>
      <c r="R5" s="51">
        <f>IF(P5&gt;J5,300-((P5-J5)*L5),IF(P5&gt;I5,F5*POWER((G5-P5),H5),B5*POWER((C5-P5),D5)))-(Q5*4)</f>
        <v>599.60905356680985</v>
      </c>
      <c r="S5" s="34"/>
      <c r="T5" s="52">
        <v>60</v>
      </c>
      <c r="U5" s="53">
        <v>1.77E-13</v>
      </c>
      <c r="V5" s="53">
        <v>20</v>
      </c>
      <c r="W5" s="53">
        <v>14.342499999999999</v>
      </c>
      <c r="X5" s="53"/>
      <c r="Y5" s="53"/>
      <c r="Z5" s="53"/>
      <c r="AA5" s="53"/>
      <c r="AB5" s="54">
        <v>7.9</v>
      </c>
      <c r="AC5" s="54">
        <v>8.4700000000000006</v>
      </c>
      <c r="AD5" s="54">
        <v>12.8</v>
      </c>
      <c r="AE5" s="55">
        <f>300/(AD5-AC5)</f>
        <v>69.284064665127019</v>
      </c>
      <c r="AF5" s="53"/>
      <c r="AG5" s="44"/>
      <c r="AH5" s="56">
        <v>7.9</v>
      </c>
      <c r="AI5" s="56">
        <f t="shared" ref="AI5" si="0">AH5</f>
        <v>7.9</v>
      </c>
      <c r="AJ5" s="57"/>
      <c r="AK5" s="58">
        <f>IF(AI5&gt;AC5,300-((AI5-AC5)*AE5),(U5*POWER((V5-AI5),W5)))</f>
        <v>599.54590376360068</v>
      </c>
      <c r="AP5" s="59"/>
      <c r="AQ5" s="59"/>
      <c r="AV5" s="59"/>
      <c r="AW5" s="59"/>
    </row>
    <row r="6" spans="1:50" x14ac:dyDescent="0.35">
      <c r="A6" s="47">
        <v>100</v>
      </c>
      <c r="B6" s="48">
        <v>3.2700000000000002E-14</v>
      </c>
      <c r="C6" s="48">
        <v>30</v>
      </c>
      <c r="D6" s="48">
        <v>12.764099999999999</v>
      </c>
      <c r="E6" s="48"/>
      <c r="F6" s="60">
        <v>5.0000000000000002E-26</v>
      </c>
      <c r="G6" s="48">
        <v>45</v>
      </c>
      <c r="H6" s="48">
        <v>18.365200000000002</v>
      </c>
      <c r="I6" s="40">
        <v>11.2</v>
      </c>
      <c r="J6" s="49">
        <v>12.45</v>
      </c>
      <c r="K6" s="49">
        <v>19</v>
      </c>
      <c r="L6" s="48">
        <f t="shared" ref="L6:L20" si="1">300/(K6-J6)</f>
        <v>45.801526717557245</v>
      </c>
      <c r="M6" s="41"/>
      <c r="N6" s="41"/>
      <c r="O6" s="50">
        <v>11.2</v>
      </c>
      <c r="P6" s="50">
        <f t="shared" ref="P6:P9" si="2">O6</f>
        <v>11.2</v>
      </c>
      <c r="Q6" s="61">
        <v>0</v>
      </c>
      <c r="R6" s="51">
        <f>IF(P6&gt;J6,300-((P6-J6)*L6+(Q6*4)),IF(P6&gt;I6,(F6*POWER((G6-P6),H6)-(Q6*10)),(B6*POWER((C6-P6),D6))-Q6*10))</f>
        <v>599.82692499656423</v>
      </c>
      <c r="S6" s="34"/>
      <c r="T6" s="52">
        <v>100</v>
      </c>
      <c r="U6" s="62">
        <v>2.2699999999999999E-13</v>
      </c>
      <c r="V6" s="62">
        <v>30</v>
      </c>
      <c r="W6" s="62">
        <v>12.358000000000001</v>
      </c>
      <c r="X6" s="62"/>
      <c r="Y6" s="63">
        <v>6.6999999999999998E-18</v>
      </c>
      <c r="Z6" s="62">
        <v>30</v>
      </c>
      <c r="AA6" s="62">
        <v>15.9878</v>
      </c>
      <c r="AB6" s="54">
        <v>12.3</v>
      </c>
      <c r="AC6" s="54">
        <v>13.05</v>
      </c>
      <c r="AD6" s="54">
        <v>19.8</v>
      </c>
      <c r="AE6" s="55">
        <f t="shared" ref="AE6:AE20" si="3">300/(AD6-AC6)</f>
        <v>44.444444444444443</v>
      </c>
      <c r="AF6" s="62"/>
      <c r="AG6" s="44"/>
      <c r="AH6" s="56">
        <v>13.1</v>
      </c>
      <c r="AI6" s="56">
        <f>AH6</f>
        <v>13.1</v>
      </c>
      <c r="AJ6" s="64">
        <v>0</v>
      </c>
      <c r="AK6" s="58">
        <f>IF(AI6&gt;AC6,300-((AI6-AC6)*AE6+(AJ6*4)),IF(AI6&gt;AB6,(Y6*POWER((Z6-AI6),AA6)-(AJ6*10)),(U6*POWER((V6-AI6),W6))-AJ6*10))</f>
        <v>297.77777777777783</v>
      </c>
      <c r="AM6" s="26" t="s">
        <v>48</v>
      </c>
      <c r="AP6" s="59"/>
      <c r="AQ6" s="59"/>
      <c r="AV6" s="59"/>
      <c r="AW6" s="59"/>
    </row>
    <row r="7" spans="1:50" x14ac:dyDescent="0.35">
      <c r="A7" s="47">
        <v>200</v>
      </c>
      <c r="B7" s="60">
        <v>4.3800000000000001E-34</v>
      </c>
      <c r="C7" s="48">
        <v>85</v>
      </c>
      <c r="D7" s="48">
        <v>20.137699999999999</v>
      </c>
      <c r="E7" s="48"/>
      <c r="F7" s="60">
        <v>4.3800000000000002E-26</v>
      </c>
      <c r="G7" s="48">
        <v>85</v>
      </c>
      <c r="H7" s="48">
        <v>15.679500000000001</v>
      </c>
      <c r="I7" s="40">
        <v>22.7</v>
      </c>
      <c r="J7" s="49">
        <v>25.4</v>
      </c>
      <c r="K7" s="49">
        <v>41</v>
      </c>
      <c r="L7" s="48">
        <f t="shared" si="1"/>
        <v>19.23076923076923</v>
      </c>
      <c r="M7" s="41"/>
      <c r="N7" s="41"/>
      <c r="O7" s="50">
        <v>22.7</v>
      </c>
      <c r="P7" s="50">
        <f t="shared" si="2"/>
        <v>22.7</v>
      </c>
      <c r="Q7" s="61">
        <v>0</v>
      </c>
      <c r="R7" s="51">
        <f>IF(P7&gt;J7,300-((P7-J7)*L7+(Q7*4)),IF(P7&gt;I7,(F7*POWER((G7-P7),H7)-(Q7*10)),(B7*POWER((C7-P7),D7))-Q7*10))</f>
        <v>600.25536127046257</v>
      </c>
      <c r="S7" s="34"/>
      <c r="T7" s="52">
        <v>200</v>
      </c>
      <c r="U7" s="63">
        <v>7.7999999999999995E-33</v>
      </c>
      <c r="V7" s="62">
        <v>85</v>
      </c>
      <c r="W7" s="62">
        <v>19.635200000000001</v>
      </c>
      <c r="X7" s="62"/>
      <c r="Y7" s="62"/>
      <c r="Z7" s="62"/>
      <c r="AA7" s="62"/>
      <c r="AB7" s="54">
        <v>25.2</v>
      </c>
      <c r="AC7" s="54">
        <v>27.27</v>
      </c>
      <c r="AD7" s="54">
        <v>43</v>
      </c>
      <c r="AE7" s="55">
        <f t="shared" si="3"/>
        <v>19.071837253655435</v>
      </c>
      <c r="AF7" s="62"/>
      <c r="AG7" s="44"/>
      <c r="AH7" s="56">
        <v>25.2</v>
      </c>
      <c r="AI7" s="56">
        <f t="shared" ref="AI7:AI9" si="4">AH7</f>
        <v>25.2</v>
      </c>
      <c r="AJ7" s="64">
        <v>0</v>
      </c>
      <c r="AK7" s="58">
        <f>IF(AI7&gt;AC7,300-((AI7-AC7)*AE7+(AJ7*4)),(U7*POWER((V7-AI7),W7))-AJ7*10)</f>
        <v>599.76026612077123</v>
      </c>
      <c r="AM7" s="26" t="s">
        <v>48</v>
      </c>
      <c r="AP7" s="59"/>
      <c r="AQ7" s="59"/>
      <c r="AV7" s="59"/>
      <c r="AW7" s="59"/>
    </row>
    <row r="8" spans="1:50" x14ac:dyDescent="0.35">
      <c r="A8" s="47">
        <v>300</v>
      </c>
      <c r="B8" s="48">
        <v>1.1570000000000001E-15</v>
      </c>
      <c r="C8" s="48">
        <v>100</v>
      </c>
      <c r="D8" s="48">
        <v>9.8452000000000002</v>
      </c>
      <c r="E8" s="48"/>
      <c r="F8" s="48"/>
      <c r="G8" s="48"/>
      <c r="H8" s="48"/>
      <c r="I8" s="40"/>
      <c r="J8" s="49">
        <v>41.28</v>
      </c>
      <c r="K8" s="65">
        <v>69</v>
      </c>
      <c r="L8" s="48">
        <f t="shared" si="1"/>
        <v>10.822510822510823</v>
      </c>
      <c r="M8" s="41"/>
      <c r="N8" s="41"/>
      <c r="O8" s="50">
        <v>37</v>
      </c>
      <c r="P8" s="50">
        <f t="shared" si="2"/>
        <v>37</v>
      </c>
      <c r="Q8" s="50"/>
      <c r="R8" s="51">
        <f>IF(P8&gt;J8,300-((P8-J8)*L8),(B8*POWER((C8-P8),D8)))</f>
        <v>600.06864773956931</v>
      </c>
      <c r="S8" s="34"/>
      <c r="T8" s="52">
        <v>300</v>
      </c>
      <c r="U8" s="66">
        <v>8.2000000000000002E-20</v>
      </c>
      <c r="V8" s="44">
        <v>110</v>
      </c>
      <c r="W8" s="44">
        <v>11.8789</v>
      </c>
      <c r="X8" s="44"/>
      <c r="Y8" s="44"/>
      <c r="Z8" s="44"/>
      <c r="AA8" s="44"/>
      <c r="AB8" s="54">
        <v>40.72</v>
      </c>
      <c r="AC8" s="54">
        <v>44.65</v>
      </c>
      <c r="AD8" s="67">
        <v>70</v>
      </c>
      <c r="AE8" s="55">
        <f t="shared" si="3"/>
        <v>11.834319526627219</v>
      </c>
      <c r="AF8" s="44"/>
      <c r="AG8" s="44"/>
      <c r="AH8" s="56">
        <v>40.72</v>
      </c>
      <c r="AI8" s="56">
        <f t="shared" si="4"/>
        <v>40.72</v>
      </c>
      <c r="AJ8" s="56"/>
      <c r="AK8" s="58">
        <f>IF(AI8&gt;AC8,300-((AI8-AC8)*AE8),(U8*POWER((V8-AI8),W8)))</f>
        <v>600.08225761135361</v>
      </c>
      <c r="AP8" s="59"/>
      <c r="AQ8" s="59"/>
      <c r="AV8" s="59"/>
      <c r="AW8" s="59"/>
    </row>
    <row r="9" spans="1:50" x14ac:dyDescent="0.35">
      <c r="A9" s="47">
        <v>400</v>
      </c>
      <c r="B9" s="48">
        <v>4.0700000000000002E-12</v>
      </c>
      <c r="C9" s="48">
        <v>120</v>
      </c>
      <c r="D9" s="48">
        <v>7.7236000000000002</v>
      </c>
      <c r="E9" s="48"/>
      <c r="F9" s="48"/>
      <c r="G9" s="48"/>
      <c r="H9" s="48"/>
      <c r="I9" s="40"/>
      <c r="J9" s="49">
        <v>57.55</v>
      </c>
      <c r="K9" s="65">
        <v>90</v>
      </c>
      <c r="L9" s="48">
        <f t="shared" si="1"/>
        <v>9.2449922958397526</v>
      </c>
      <c r="M9" s="41"/>
      <c r="N9" s="41"/>
      <c r="O9" s="50">
        <v>51.7</v>
      </c>
      <c r="P9" s="50">
        <f t="shared" si="2"/>
        <v>51.7</v>
      </c>
      <c r="Q9" s="50"/>
      <c r="R9" s="51">
        <f>IF(P9&gt;J9,300-(($P9-J9)*$L9),($B9*POWER(($C9-P9),$D9)))</f>
        <v>599.68910144126767</v>
      </c>
      <c r="S9" s="34"/>
      <c r="T9" s="52">
        <v>400</v>
      </c>
      <c r="U9" s="62">
        <v>1.7199999999999999E-11</v>
      </c>
      <c r="V9" s="62">
        <v>120</v>
      </c>
      <c r="W9" s="62">
        <v>7.5426000000000002</v>
      </c>
      <c r="X9" s="62"/>
      <c r="Y9" s="62"/>
      <c r="Z9" s="62"/>
      <c r="AA9" s="62"/>
      <c r="AB9" s="54">
        <v>57.55</v>
      </c>
      <c r="AC9" s="54">
        <v>63</v>
      </c>
      <c r="AD9" s="67">
        <v>92</v>
      </c>
      <c r="AE9" s="55">
        <f t="shared" si="3"/>
        <v>10.344827586206897</v>
      </c>
      <c r="AF9" s="62"/>
      <c r="AG9" s="44"/>
      <c r="AH9" s="56">
        <v>57.55</v>
      </c>
      <c r="AI9" s="56">
        <f t="shared" si="4"/>
        <v>57.55</v>
      </c>
      <c r="AJ9" s="56"/>
      <c r="AK9" s="58">
        <f>IF(AI9&gt;AC9,300-((AI9-AC9)*AE9),(U9*POWER((V9-AI9),W9)))</f>
        <v>600.49783960645573</v>
      </c>
      <c r="AP9" s="59"/>
      <c r="AQ9" s="59"/>
      <c r="AV9" s="59"/>
      <c r="AW9" s="59"/>
      <c r="AX9" s="68"/>
    </row>
    <row r="10" spans="1:50" x14ac:dyDescent="0.35">
      <c r="A10" s="47">
        <v>800</v>
      </c>
      <c r="B10" s="60">
        <v>1.0500000000000001E-21</v>
      </c>
      <c r="C10" s="48">
        <v>330</v>
      </c>
      <c r="D10" s="48">
        <v>10.230399999999999</v>
      </c>
      <c r="E10" s="48"/>
      <c r="F10" s="60">
        <v>3.255E-18</v>
      </c>
      <c r="G10" s="48">
        <v>330</v>
      </c>
      <c r="H10" s="48">
        <v>8.7268000000000008</v>
      </c>
      <c r="I10" s="40">
        <v>120.5</v>
      </c>
      <c r="J10" s="69">
        <v>136</v>
      </c>
      <c r="K10" s="69">
        <v>215</v>
      </c>
      <c r="L10" s="48">
        <f t="shared" si="1"/>
        <v>3.7974683544303796</v>
      </c>
      <c r="M10" s="41"/>
      <c r="N10" s="41">
        <v>2</v>
      </c>
      <c r="O10" s="50">
        <v>0</v>
      </c>
      <c r="P10" s="50">
        <f>(N10*60)+O10</f>
        <v>120</v>
      </c>
      <c r="Q10" s="50"/>
      <c r="R10" s="51">
        <f>IF(P10&gt;J10,300-(($P10-J10)*$L10),IF(P10&gt;I10,$F10*POWER(($G10-P10),$H10),$B10*POWER(($C10-P10),$D10)))-(Q10*6)</f>
        <v>600.3735792511477</v>
      </c>
      <c r="S10" s="34"/>
      <c r="T10" s="52">
        <v>800</v>
      </c>
      <c r="U10" s="63">
        <v>7.1999999999999996E-22</v>
      </c>
      <c r="V10" s="62">
        <v>330</v>
      </c>
      <c r="W10" s="62">
        <v>10.4305</v>
      </c>
      <c r="X10" s="62"/>
      <c r="Y10" s="63">
        <v>1.72E-30</v>
      </c>
      <c r="Z10" s="62">
        <v>350</v>
      </c>
      <c r="AA10" s="62">
        <v>13.934200000000001</v>
      </c>
      <c r="AB10" s="70">
        <v>133.5</v>
      </c>
      <c r="AC10" s="70">
        <v>144</v>
      </c>
      <c r="AD10" s="70">
        <v>225</v>
      </c>
      <c r="AE10" s="55">
        <f t="shared" si="3"/>
        <v>3.7037037037037037</v>
      </c>
      <c r="AF10" s="62"/>
      <c r="AG10" s="44">
        <v>2</v>
      </c>
      <c r="AH10" s="56">
        <v>13.5</v>
      </c>
      <c r="AI10" s="56">
        <f>(AG10*60)+AH10</f>
        <v>133.5</v>
      </c>
      <c r="AJ10" s="56"/>
      <c r="AK10" s="58">
        <f>IF(AI10&gt;AC10,300-((AI10-AC10)*AE10),IF(AI10&gt;AB10,Y10*POWER((Z10-AI10),AA10),U10*POWER((V10-AI10),W10)))</f>
        <v>600.1373045332565</v>
      </c>
      <c r="AP10" s="59"/>
      <c r="AQ10" s="59"/>
      <c r="AV10" s="59"/>
      <c r="AW10" s="59"/>
      <c r="AX10" s="68"/>
    </row>
    <row r="11" spans="1:50" x14ac:dyDescent="0.35">
      <c r="A11" s="47">
        <v>1500</v>
      </c>
      <c r="B11" s="48">
        <v>1.7062000000000001E-13</v>
      </c>
      <c r="C11" s="48">
        <v>550</v>
      </c>
      <c r="D11" s="48">
        <v>6.2759999999999998</v>
      </c>
      <c r="E11" s="48"/>
      <c r="F11" s="60">
        <v>2.598E-18</v>
      </c>
      <c r="G11" s="48">
        <v>600</v>
      </c>
      <c r="H11" s="48">
        <v>8.0042000000000009</v>
      </c>
      <c r="I11" s="40">
        <v>251</v>
      </c>
      <c r="J11" s="69">
        <v>279</v>
      </c>
      <c r="K11" s="69">
        <v>425</v>
      </c>
      <c r="L11" s="48">
        <f t="shared" si="1"/>
        <v>2.0547945205479454</v>
      </c>
      <c r="M11" s="41"/>
      <c r="N11" s="41">
        <v>4</v>
      </c>
      <c r="O11" s="50">
        <v>10</v>
      </c>
      <c r="P11" s="50">
        <f>(N11*60)+O11</f>
        <v>250</v>
      </c>
      <c r="Q11" s="50"/>
      <c r="R11" s="51">
        <f>IF(P11&gt;J11,300-(($P11-J11)*$L11),IF(P11&gt;I11,$F11*POWER(($G11-P11),$H11),$B11*POWER(($C11-P11),$D11)))-(Q11*6)</f>
        <v>600.40310873087219</v>
      </c>
      <c r="S11" s="34"/>
      <c r="T11" s="52">
        <v>1500</v>
      </c>
      <c r="U11" s="62">
        <v>6.2000000000000001E-14</v>
      </c>
      <c r="V11" s="62">
        <v>550</v>
      </c>
      <c r="W11" s="62">
        <v>6.5576999999999996</v>
      </c>
      <c r="X11" s="62"/>
      <c r="Y11" s="63">
        <v>5.4999999999999996E-20</v>
      </c>
      <c r="Z11" s="62">
        <v>565</v>
      </c>
      <c r="AA11" s="62">
        <v>8.9551999999999996</v>
      </c>
      <c r="AB11" s="70">
        <v>276</v>
      </c>
      <c r="AC11" s="70">
        <v>297.5</v>
      </c>
      <c r="AD11" s="70">
        <v>450</v>
      </c>
      <c r="AE11" s="55">
        <f t="shared" si="3"/>
        <v>1.9672131147540983</v>
      </c>
      <c r="AF11" s="62"/>
      <c r="AG11" s="44">
        <v>4</v>
      </c>
      <c r="AH11" s="56">
        <v>36</v>
      </c>
      <c r="AI11" s="56">
        <f>(AG11*60)+AH11</f>
        <v>276</v>
      </c>
      <c r="AJ11" s="56"/>
      <c r="AK11" s="58">
        <f>IF(AI11&gt;AC11,300-((AI11-AC11)*AE11),IF(AI11&gt;AB11,Y11*POWER((Z11-AI11),AA11),U11*POWER((V11-AI11),W11)))</f>
        <v>600.383233245263</v>
      </c>
      <c r="AP11" s="59"/>
      <c r="AQ11" s="59"/>
      <c r="AV11" s="59"/>
      <c r="AW11" s="71"/>
      <c r="AX11" s="68"/>
    </row>
    <row r="12" spans="1:50" x14ac:dyDescent="0.35">
      <c r="A12" s="47" t="s">
        <v>49</v>
      </c>
      <c r="B12" s="48">
        <v>2.7200000000000001E-12</v>
      </c>
      <c r="C12" s="48">
        <v>575</v>
      </c>
      <c r="D12" s="48">
        <v>5.7763</v>
      </c>
      <c r="E12" s="48"/>
      <c r="F12" s="48">
        <v>2.72E-14</v>
      </c>
      <c r="G12" s="48">
        <v>575</v>
      </c>
      <c r="H12" s="48">
        <v>6.5818000000000003</v>
      </c>
      <c r="I12" s="72">
        <v>270.8</v>
      </c>
      <c r="J12" s="69">
        <v>301.2</v>
      </c>
      <c r="K12" s="69">
        <v>456</v>
      </c>
      <c r="L12" s="48">
        <f t="shared" si="1"/>
        <v>1.9379844961240309</v>
      </c>
      <c r="M12" s="48"/>
      <c r="N12" s="41">
        <v>4</v>
      </c>
      <c r="O12" s="50">
        <v>30.8</v>
      </c>
      <c r="P12" s="50">
        <f>(N12*60)+O12</f>
        <v>270.8</v>
      </c>
      <c r="Q12" s="50"/>
      <c r="R12" s="51">
        <f>IF(P12&gt;J12,300-(($P12-J12)*$L12),IF(P12&gt;I12,$F12*POWER(($G12-P12),$H12),$B12*POWER(($C12-P12),$D12)))-(Q12*6)</f>
        <v>599.84832036397177</v>
      </c>
      <c r="S12" s="34"/>
      <c r="T12" s="73" t="s">
        <v>49</v>
      </c>
      <c r="U12" s="55">
        <v>1.87835E-13</v>
      </c>
      <c r="V12" s="55">
        <v>580</v>
      </c>
      <c r="W12" s="55">
        <v>6.3235999999999999</v>
      </c>
      <c r="X12" s="74"/>
      <c r="Y12" s="55"/>
      <c r="Z12" s="55"/>
      <c r="AA12" s="55"/>
      <c r="AB12" s="70">
        <v>297</v>
      </c>
      <c r="AC12" s="70">
        <v>326.39999999999998</v>
      </c>
      <c r="AD12" s="70">
        <v>487</v>
      </c>
      <c r="AE12" s="55">
        <f t="shared" si="3"/>
        <v>1.8679950186799499</v>
      </c>
      <c r="AF12" s="74"/>
      <c r="AG12" s="74">
        <v>4</v>
      </c>
      <c r="AH12" s="75">
        <v>57</v>
      </c>
      <c r="AI12" s="75">
        <f t="shared" ref="AI12" si="5">(AG12*60)+AH12</f>
        <v>297</v>
      </c>
      <c r="AJ12" s="75"/>
      <c r="AK12" s="58">
        <f t="shared" ref="AK12:AK18" si="6">IF(AI12&gt;AC12,300-((AI12-AC12)*AE12),(U12*POWER((V12-AI12),W12)))</f>
        <v>599.64362769433387</v>
      </c>
      <c r="AP12" s="59"/>
      <c r="AQ12" s="59"/>
      <c r="AV12" s="59"/>
      <c r="AW12" s="71"/>
      <c r="AX12" s="68"/>
    </row>
    <row r="13" spans="1:50" x14ac:dyDescent="0.35">
      <c r="A13" s="47">
        <v>3000</v>
      </c>
      <c r="B13" s="48">
        <v>4.5000000000000003E-5</v>
      </c>
      <c r="C13" s="48">
        <v>860</v>
      </c>
      <c r="D13" s="48">
        <v>2.8599000000000001</v>
      </c>
      <c r="E13" s="48"/>
      <c r="F13" s="48"/>
      <c r="G13" s="48"/>
      <c r="H13" s="48"/>
      <c r="I13" s="40">
        <v>550</v>
      </c>
      <c r="J13" s="69">
        <v>616.79999999999995</v>
      </c>
      <c r="K13" s="69">
        <v>825</v>
      </c>
      <c r="L13" s="48">
        <f t="shared" si="1"/>
        <v>1.4409221902017288</v>
      </c>
      <c r="M13" s="41"/>
      <c r="N13" s="41">
        <v>9</v>
      </c>
      <c r="O13" s="50">
        <v>10</v>
      </c>
      <c r="P13" s="50">
        <f>(N13*60)+O13</f>
        <v>550</v>
      </c>
      <c r="Q13" s="50"/>
      <c r="R13" s="51">
        <f t="shared" ref="R13:R18" si="7">IF(P13&gt;J13,300-(($P13-J13)*$L13),($B13*POWER(($C13-P13),$D13)))</f>
        <v>600.1472521567606</v>
      </c>
      <c r="S13" s="34"/>
      <c r="T13" s="52">
        <v>3000</v>
      </c>
      <c r="U13" s="76">
        <v>2.65E-3</v>
      </c>
      <c r="V13" s="76">
        <v>860</v>
      </c>
      <c r="W13" s="76">
        <v>2.2496999999999998</v>
      </c>
      <c r="X13" s="62"/>
      <c r="Y13" s="62"/>
      <c r="Z13" s="62"/>
      <c r="AA13" s="62"/>
      <c r="AB13" s="70">
        <v>620</v>
      </c>
      <c r="AC13" s="70">
        <v>683.6</v>
      </c>
      <c r="AD13" s="70">
        <v>845</v>
      </c>
      <c r="AE13" s="55">
        <f t="shared" si="3"/>
        <v>1.8587360594795541</v>
      </c>
      <c r="AF13" s="62"/>
      <c r="AG13" s="44">
        <v>10</v>
      </c>
      <c r="AH13" s="56">
        <v>20</v>
      </c>
      <c r="AI13" s="56">
        <f>(AG13*60)+AH13</f>
        <v>620</v>
      </c>
      <c r="AJ13" s="56"/>
      <c r="AK13" s="58">
        <f t="shared" si="6"/>
        <v>599.80088803068566</v>
      </c>
      <c r="AP13" s="59"/>
      <c r="AQ13" s="59"/>
      <c r="AV13" s="59"/>
      <c r="AW13" s="59"/>
    </row>
    <row r="14" spans="1:50" x14ac:dyDescent="0.35">
      <c r="A14" s="47">
        <v>5000</v>
      </c>
      <c r="B14" s="48">
        <v>1.98E-7</v>
      </c>
      <c r="C14" s="48">
        <v>1600</v>
      </c>
      <c r="D14" s="48">
        <v>3.3666</v>
      </c>
      <c r="E14" s="48"/>
      <c r="F14" s="48"/>
      <c r="G14" s="48"/>
      <c r="H14" s="48"/>
      <c r="I14" s="40">
        <v>945</v>
      </c>
      <c r="J14" s="69">
        <v>1067</v>
      </c>
      <c r="K14" s="69">
        <v>1490</v>
      </c>
      <c r="L14" s="48">
        <f t="shared" si="1"/>
        <v>0.70921985815602839</v>
      </c>
      <c r="M14" s="41"/>
      <c r="N14" s="41">
        <v>15</v>
      </c>
      <c r="O14" s="50">
        <v>45</v>
      </c>
      <c r="P14" s="50">
        <f t="shared" ref="P14:P17" si="8">(N14*60)+O14</f>
        <v>945</v>
      </c>
      <c r="Q14" s="50"/>
      <c r="R14" s="51">
        <f t="shared" si="7"/>
        <v>599.54688487358851</v>
      </c>
      <c r="S14" s="34"/>
      <c r="T14" s="52">
        <v>5000</v>
      </c>
      <c r="U14" s="62">
        <v>6.7500000000000001E-5</v>
      </c>
      <c r="V14" s="62">
        <v>1600</v>
      </c>
      <c r="W14" s="62">
        <v>2.5583999999999998</v>
      </c>
      <c r="X14" s="62"/>
      <c r="Y14" s="62"/>
      <c r="Z14" s="62"/>
      <c r="AA14" s="62"/>
      <c r="AB14" s="70">
        <v>1080</v>
      </c>
      <c r="AC14" s="70">
        <v>1203.5</v>
      </c>
      <c r="AD14" s="70">
        <v>1550</v>
      </c>
      <c r="AE14" s="55">
        <f t="shared" si="3"/>
        <v>0.86580086580086579</v>
      </c>
      <c r="AF14" s="62"/>
      <c r="AG14" s="44">
        <v>18</v>
      </c>
      <c r="AH14" s="56">
        <v>0</v>
      </c>
      <c r="AI14" s="56">
        <f t="shared" ref="AI14:AI17" si="9">(AG14*60)+AH14</f>
        <v>1080</v>
      </c>
      <c r="AJ14" s="56"/>
      <c r="AK14" s="58">
        <f t="shared" si="6"/>
        <v>599.68988990750006</v>
      </c>
      <c r="AP14" s="59"/>
      <c r="AQ14" s="59"/>
      <c r="AV14" s="59"/>
      <c r="AW14" s="59"/>
    </row>
    <row r="15" spans="1:50" x14ac:dyDescent="0.35">
      <c r="A15" s="47">
        <v>10000</v>
      </c>
      <c r="B15" s="48">
        <v>6.2900000000000003E-7</v>
      </c>
      <c r="C15" s="48">
        <v>3300</v>
      </c>
      <c r="D15" s="48">
        <v>2.8868</v>
      </c>
      <c r="E15" s="48"/>
      <c r="F15" s="48"/>
      <c r="G15" s="48"/>
      <c r="H15" s="48"/>
      <c r="I15" s="40">
        <v>2010</v>
      </c>
      <c r="J15" s="69">
        <v>2285</v>
      </c>
      <c r="K15" s="69">
        <v>3140</v>
      </c>
      <c r="L15" s="48">
        <f t="shared" si="1"/>
        <v>0.35087719298245612</v>
      </c>
      <c r="M15" s="41"/>
      <c r="N15" s="41">
        <v>33</v>
      </c>
      <c r="O15" s="50">
        <v>30</v>
      </c>
      <c r="P15" s="50">
        <f t="shared" si="8"/>
        <v>2010</v>
      </c>
      <c r="Q15" s="50"/>
      <c r="R15" s="51">
        <f t="shared" si="7"/>
        <v>600.2069516252302</v>
      </c>
      <c r="S15" s="34"/>
      <c r="T15" s="52">
        <v>10000</v>
      </c>
      <c r="U15" s="62">
        <v>1.2899999999999999E-4</v>
      </c>
      <c r="V15" s="62">
        <v>3300</v>
      </c>
      <c r="W15" s="62">
        <v>2.2161</v>
      </c>
      <c r="X15" s="62"/>
      <c r="Y15" s="62"/>
      <c r="Z15" s="62"/>
      <c r="AA15" s="62"/>
      <c r="AB15" s="70">
        <v>2280</v>
      </c>
      <c r="AC15" s="70">
        <v>2554</v>
      </c>
      <c r="AD15" s="70">
        <v>3235</v>
      </c>
      <c r="AE15" s="55">
        <f t="shared" si="3"/>
        <v>0.44052863436123346</v>
      </c>
      <c r="AF15" s="62"/>
      <c r="AG15" s="44">
        <v>38</v>
      </c>
      <c r="AH15" s="56">
        <v>0</v>
      </c>
      <c r="AI15" s="56">
        <f t="shared" si="9"/>
        <v>2280</v>
      </c>
      <c r="AJ15" s="56"/>
      <c r="AK15" s="58">
        <f t="shared" si="6"/>
        <v>599.72002571243911</v>
      </c>
      <c r="AP15" s="59"/>
      <c r="AQ15" s="59"/>
      <c r="AV15" s="59"/>
      <c r="AW15" s="71"/>
    </row>
    <row r="16" spans="1:50" x14ac:dyDescent="0.35">
      <c r="A16" s="47" t="s">
        <v>50</v>
      </c>
      <c r="B16" s="48">
        <v>2.7520000000000001E-6</v>
      </c>
      <c r="C16" s="48">
        <v>720</v>
      </c>
      <c r="D16" s="48">
        <v>3.3285999999999998</v>
      </c>
      <c r="E16" s="48"/>
      <c r="F16" s="48"/>
      <c r="G16" s="48"/>
      <c r="H16" s="48"/>
      <c r="I16" s="40">
        <v>400</v>
      </c>
      <c r="J16" s="69">
        <v>460.2</v>
      </c>
      <c r="K16" s="69">
        <v>670</v>
      </c>
      <c r="L16" s="48">
        <f t="shared" si="1"/>
        <v>1.4299332697807434</v>
      </c>
      <c r="M16" s="41"/>
      <c r="N16" s="41">
        <v>6</v>
      </c>
      <c r="O16" s="50">
        <v>40</v>
      </c>
      <c r="P16" s="50">
        <f t="shared" si="8"/>
        <v>400</v>
      </c>
      <c r="Q16" s="50"/>
      <c r="R16" s="51">
        <f t="shared" si="7"/>
        <v>600.19261500439654</v>
      </c>
      <c r="S16" s="34"/>
      <c r="T16" s="52" t="s">
        <v>50</v>
      </c>
      <c r="U16" s="62">
        <v>5.2505E-5</v>
      </c>
      <c r="V16" s="62">
        <v>720</v>
      </c>
      <c r="W16" s="62">
        <v>2.903</v>
      </c>
      <c r="X16" s="62"/>
      <c r="Y16" s="62"/>
      <c r="Z16" s="62"/>
      <c r="AA16" s="62"/>
      <c r="AB16" s="70">
        <v>450</v>
      </c>
      <c r="AC16" s="70">
        <v>507.5</v>
      </c>
      <c r="AD16" s="70">
        <v>687.5</v>
      </c>
      <c r="AE16" s="55">
        <f t="shared" si="3"/>
        <v>1.6666666666666667</v>
      </c>
      <c r="AF16" s="62"/>
      <c r="AG16" s="44">
        <v>7</v>
      </c>
      <c r="AH16" s="56">
        <v>30</v>
      </c>
      <c r="AI16" s="56">
        <f t="shared" si="9"/>
        <v>450</v>
      </c>
      <c r="AJ16" s="56"/>
      <c r="AK16" s="58">
        <f t="shared" si="6"/>
        <v>600.41242384949601</v>
      </c>
      <c r="AP16" s="59"/>
      <c r="AQ16" s="59"/>
      <c r="AV16" s="59"/>
      <c r="AW16" s="59"/>
    </row>
    <row r="17" spans="1:49" x14ac:dyDescent="0.35">
      <c r="A17" s="47" t="s">
        <v>51</v>
      </c>
      <c r="B17" s="48">
        <v>1.0349999999999999E-3</v>
      </c>
      <c r="C17" s="48">
        <v>950</v>
      </c>
      <c r="D17" s="48">
        <v>2.2907000000000002</v>
      </c>
      <c r="E17" s="48"/>
      <c r="F17" s="48"/>
      <c r="G17" s="48"/>
      <c r="H17" s="48"/>
      <c r="I17" s="40">
        <v>622</v>
      </c>
      <c r="J17" s="69">
        <v>707.5</v>
      </c>
      <c r="K17" s="69">
        <v>930</v>
      </c>
      <c r="L17" s="48">
        <f t="shared" si="1"/>
        <v>1.348314606741573</v>
      </c>
      <c r="M17" s="41"/>
      <c r="N17" s="41">
        <v>10</v>
      </c>
      <c r="O17" s="50">
        <v>22</v>
      </c>
      <c r="P17" s="50">
        <f t="shared" si="8"/>
        <v>622</v>
      </c>
      <c r="Q17" s="50"/>
      <c r="R17" s="51">
        <f t="shared" si="7"/>
        <v>599.86367463628221</v>
      </c>
      <c r="S17" s="34"/>
      <c r="T17" s="52" t="s">
        <v>51</v>
      </c>
      <c r="U17" s="62">
        <v>1.2E-2</v>
      </c>
      <c r="V17" s="62">
        <v>1000</v>
      </c>
      <c r="W17" s="62">
        <v>1.9083000000000001</v>
      </c>
      <c r="X17" s="62"/>
      <c r="Y17" s="62"/>
      <c r="Z17" s="62"/>
      <c r="AA17" s="62"/>
      <c r="AB17" s="70">
        <v>710</v>
      </c>
      <c r="AC17" s="70">
        <v>812</v>
      </c>
      <c r="AD17" s="70">
        <v>995</v>
      </c>
      <c r="AE17" s="55">
        <f t="shared" si="3"/>
        <v>1.639344262295082</v>
      </c>
      <c r="AF17" s="62"/>
      <c r="AG17" s="44">
        <v>11</v>
      </c>
      <c r="AH17" s="56">
        <v>50</v>
      </c>
      <c r="AI17" s="56">
        <f t="shared" si="9"/>
        <v>710</v>
      </c>
      <c r="AJ17" s="56"/>
      <c r="AK17" s="58">
        <f t="shared" si="6"/>
        <v>600.03328947152193</v>
      </c>
      <c r="AP17" s="59"/>
      <c r="AQ17" s="59"/>
      <c r="AV17" s="59"/>
      <c r="AW17" s="59"/>
    </row>
    <row r="18" spans="1:49" x14ac:dyDescent="0.35">
      <c r="A18" s="47" t="s">
        <v>52</v>
      </c>
      <c r="B18" s="48">
        <v>9.2699999999999993E-6</v>
      </c>
      <c r="C18" s="48">
        <v>26</v>
      </c>
      <c r="D18" s="48">
        <v>6.41</v>
      </c>
      <c r="E18" s="48"/>
      <c r="F18" s="48"/>
      <c r="G18" s="48"/>
      <c r="H18" s="48"/>
      <c r="I18" s="40">
        <v>9.4600000000000009</v>
      </c>
      <c r="J18" s="77">
        <v>11.15</v>
      </c>
      <c r="K18" s="49">
        <v>18</v>
      </c>
      <c r="L18" s="48">
        <f t="shared" si="1"/>
        <v>43.79562043795621</v>
      </c>
      <c r="M18" s="41"/>
      <c r="N18" s="41"/>
      <c r="O18" s="50">
        <v>9.4600000000000009</v>
      </c>
      <c r="P18" s="50">
        <f t="shared" ref="P18:P20" si="10">O18</f>
        <v>9.4600000000000009</v>
      </c>
      <c r="Q18" s="50"/>
      <c r="R18" s="51">
        <f t="shared" si="7"/>
        <v>599.64238463919389</v>
      </c>
      <c r="S18" s="34"/>
      <c r="T18" s="52" t="s">
        <v>52</v>
      </c>
      <c r="U18" s="53">
        <v>1.685E-6</v>
      </c>
      <c r="V18" s="53">
        <v>22</v>
      </c>
      <c r="W18" s="53">
        <v>7.7447999999999997</v>
      </c>
      <c r="X18" s="53"/>
      <c r="Y18" s="53"/>
      <c r="Z18" s="53"/>
      <c r="AA18" s="53"/>
      <c r="AB18" s="54">
        <v>9.2899999999999991</v>
      </c>
      <c r="AC18" s="78">
        <v>10.38</v>
      </c>
      <c r="AD18" s="54">
        <v>17.5</v>
      </c>
      <c r="AE18" s="55">
        <f t="shared" si="3"/>
        <v>42.134831460674164</v>
      </c>
      <c r="AF18" s="53"/>
      <c r="AG18" s="44"/>
      <c r="AH18" s="56">
        <v>9.2899999999999991</v>
      </c>
      <c r="AI18" s="56">
        <f t="shared" ref="AI18" si="11">AH18</f>
        <v>9.2899999999999991</v>
      </c>
      <c r="AJ18" s="56"/>
      <c r="AK18" s="58">
        <f t="shared" si="6"/>
        <v>599.77224585241947</v>
      </c>
      <c r="AP18" s="59"/>
      <c r="AQ18" s="59"/>
      <c r="AV18" s="59"/>
      <c r="AW18" s="59"/>
    </row>
    <row r="19" spans="1:49" x14ac:dyDescent="0.35">
      <c r="A19" s="47" t="s">
        <v>53</v>
      </c>
      <c r="B19" s="48">
        <v>1.95E-6</v>
      </c>
      <c r="C19" s="48">
        <v>42</v>
      </c>
      <c r="D19" s="48">
        <v>6.0349000000000004</v>
      </c>
      <c r="E19" s="48"/>
      <c r="F19" s="48"/>
      <c r="G19" s="48"/>
      <c r="H19" s="48"/>
      <c r="I19" s="40">
        <v>16.5</v>
      </c>
      <c r="J19" s="77">
        <v>19.27</v>
      </c>
      <c r="K19" s="49">
        <v>33</v>
      </c>
      <c r="L19" s="48">
        <f t="shared" si="1"/>
        <v>21.849963583394025</v>
      </c>
      <c r="M19" s="41"/>
      <c r="N19" s="41"/>
      <c r="O19" s="50">
        <v>16.5</v>
      </c>
      <c r="P19" s="50">
        <f t="shared" si="10"/>
        <v>16.5</v>
      </c>
      <c r="Q19" s="61">
        <v>0</v>
      </c>
      <c r="R19" s="51">
        <f>IF(P19&gt;J19,300-((P19-J19)*L19+(Q19*4)),IF(P19&gt;I19,(F19*POWER((G19-P19),H19)-(Q19*10)),(B19*POWER((C19-P19),D19))-Q19*10))</f>
        <v>600.29392218560554</v>
      </c>
      <c r="S19" s="34"/>
      <c r="T19" s="52" t="s">
        <v>54</v>
      </c>
      <c r="U19" s="53">
        <v>2.7500000000000001E-8</v>
      </c>
      <c r="V19" s="53">
        <v>40</v>
      </c>
      <c r="W19" s="53">
        <v>7.4283000000000001</v>
      </c>
      <c r="X19" s="53"/>
      <c r="Y19" s="53"/>
      <c r="Z19" s="53"/>
      <c r="AA19" s="53"/>
      <c r="AB19" s="78">
        <v>15.35</v>
      </c>
      <c r="AC19" s="78">
        <v>17.55</v>
      </c>
      <c r="AD19" s="54">
        <v>29</v>
      </c>
      <c r="AE19" s="55">
        <f t="shared" si="3"/>
        <v>26.200873362445417</v>
      </c>
      <c r="AF19" s="53"/>
      <c r="AG19" s="53"/>
      <c r="AH19" s="56">
        <v>15.35</v>
      </c>
      <c r="AI19" s="56">
        <f>AH19</f>
        <v>15.35</v>
      </c>
      <c r="AJ19" s="64">
        <v>0</v>
      </c>
      <c r="AK19" s="58">
        <f>IF(AI19&gt;AC19,300-((AI19-AC19)*AE19+(AJ19*4)),(U19*POWER((V19-AI19),W19))-AJ19*10)</f>
        <v>600.02085780863479</v>
      </c>
      <c r="AM19" s="26" t="s">
        <v>48</v>
      </c>
      <c r="AP19" s="59"/>
      <c r="AQ19" s="59"/>
      <c r="AV19" s="59"/>
      <c r="AW19" s="59"/>
    </row>
    <row r="20" spans="1:49" x14ac:dyDescent="0.35">
      <c r="A20" s="47" t="s">
        <v>55</v>
      </c>
      <c r="B20" s="79">
        <v>4.2E-10</v>
      </c>
      <c r="C20" s="79">
        <v>150</v>
      </c>
      <c r="D20" s="79">
        <v>6.2199</v>
      </c>
      <c r="E20" s="48"/>
      <c r="F20" s="48"/>
      <c r="G20" s="48"/>
      <c r="H20" s="48"/>
      <c r="I20" s="40">
        <v>60</v>
      </c>
      <c r="J20" s="49">
        <v>68.8</v>
      </c>
      <c r="K20" s="49">
        <v>120</v>
      </c>
      <c r="L20" s="48">
        <f t="shared" si="1"/>
        <v>5.859375</v>
      </c>
      <c r="M20" s="41"/>
      <c r="N20" s="41"/>
      <c r="O20" s="50">
        <v>60</v>
      </c>
      <c r="P20" s="50">
        <f t="shared" si="10"/>
        <v>60</v>
      </c>
      <c r="Q20" s="50"/>
      <c r="R20" s="51">
        <f>IF(P20&gt;J20,300-(($P20-J20)*$L20),($B20*POWER(($C20-P20),$D20)))</f>
        <v>600.40219991572508</v>
      </c>
      <c r="S20" s="34"/>
      <c r="T20" s="52" t="s">
        <v>55</v>
      </c>
      <c r="U20" s="53">
        <v>3.55E-11</v>
      </c>
      <c r="V20" s="53">
        <v>150</v>
      </c>
      <c r="W20" s="53">
        <v>6.8470000000000004</v>
      </c>
      <c r="X20" s="53"/>
      <c r="Y20" s="53"/>
      <c r="Z20" s="53"/>
      <c r="AA20" s="53"/>
      <c r="AB20" s="54">
        <v>64.5</v>
      </c>
      <c r="AC20" s="78">
        <v>72.75</v>
      </c>
      <c r="AD20" s="67">
        <v>120</v>
      </c>
      <c r="AE20" s="55">
        <f t="shared" si="3"/>
        <v>6.3492063492063489</v>
      </c>
      <c r="AF20" s="53"/>
      <c r="AG20" s="53"/>
      <c r="AH20" s="56">
        <v>64.5</v>
      </c>
      <c r="AI20" s="56">
        <f>AH20</f>
        <v>64.5</v>
      </c>
      <c r="AJ20" s="56"/>
      <c r="AK20" s="58">
        <f>IF(AI20&gt;AC20,300-((AI20-AC20)*AE20),(U20*POWER((V20-AI20),W20)))</f>
        <v>600.34422955710716</v>
      </c>
      <c r="AP20" s="59"/>
      <c r="AQ20" s="59"/>
      <c r="AV20" s="59"/>
      <c r="AW20" s="59"/>
    </row>
    <row r="21" spans="1:49" x14ac:dyDescent="0.35">
      <c r="A21" s="80" t="s">
        <v>20</v>
      </c>
      <c r="B21" s="40" t="s">
        <v>8</v>
      </c>
      <c r="C21" s="40" t="s">
        <v>9</v>
      </c>
      <c r="D21" s="40" t="s">
        <v>10</v>
      </c>
      <c r="E21" s="40"/>
      <c r="F21" s="40"/>
      <c r="G21" s="40"/>
      <c r="H21" s="40"/>
      <c r="I21" s="40"/>
      <c r="J21" s="40"/>
      <c r="K21" s="40"/>
      <c r="L21" s="40"/>
      <c r="M21" s="41"/>
      <c r="N21" s="41"/>
      <c r="O21" s="42" t="s">
        <v>56</v>
      </c>
      <c r="P21" s="41"/>
      <c r="Q21" s="41"/>
      <c r="R21" s="81"/>
      <c r="S21" s="34"/>
      <c r="T21" s="82" t="s">
        <v>57</v>
      </c>
      <c r="U21" s="53" t="s">
        <v>8</v>
      </c>
      <c r="V21" s="53" t="s">
        <v>9</v>
      </c>
      <c r="W21" s="53" t="s">
        <v>10</v>
      </c>
      <c r="X21" s="53"/>
      <c r="Y21" s="53"/>
      <c r="Z21" s="53"/>
      <c r="AA21" s="53"/>
      <c r="AB21" s="54"/>
      <c r="AC21" s="53"/>
      <c r="AD21" s="53"/>
      <c r="AE21" s="53"/>
      <c r="AF21" s="53"/>
      <c r="AG21" s="44"/>
      <c r="AH21" s="45" t="s">
        <v>56</v>
      </c>
      <c r="AI21" s="44"/>
      <c r="AJ21" s="44"/>
      <c r="AK21" s="46"/>
      <c r="AP21" s="59"/>
      <c r="AQ21" s="59"/>
      <c r="AV21" s="59"/>
      <c r="AW21" s="59"/>
    </row>
    <row r="22" spans="1:49" hidden="1" x14ac:dyDescent="0.35">
      <c r="A22" s="8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1"/>
      <c r="N22" s="41"/>
      <c r="O22" s="42"/>
      <c r="P22" s="41"/>
      <c r="Q22" s="41"/>
      <c r="R22" s="81"/>
      <c r="S22" s="34"/>
      <c r="T22" s="83" t="s">
        <v>58</v>
      </c>
      <c r="U22" s="26">
        <v>53.6</v>
      </c>
      <c r="V22" s="26">
        <v>167</v>
      </c>
      <c r="W22" s="26">
        <v>0.72499999999999998</v>
      </c>
      <c r="X22" s="84"/>
      <c r="Y22" s="84"/>
      <c r="Z22" s="84"/>
      <c r="AA22" s="84"/>
      <c r="AB22" s="85"/>
      <c r="AC22" s="84"/>
      <c r="AD22" s="84"/>
      <c r="AE22" s="84"/>
      <c r="AF22" s="84"/>
      <c r="AG22" s="86"/>
      <c r="AH22" s="87"/>
      <c r="AI22" s="86"/>
      <c r="AJ22" s="86"/>
      <c r="AK22" s="86"/>
      <c r="AP22" s="59"/>
      <c r="AQ22" s="59"/>
      <c r="AV22" s="59"/>
      <c r="AW22" s="59"/>
    </row>
    <row r="23" spans="1:49" x14ac:dyDescent="0.35">
      <c r="A23" s="47" t="s">
        <v>21</v>
      </c>
      <c r="B23" s="48">
        <v>4.7499999999999999E-3</v>
      </c>
      <c r="C23" s="48">
        <v>45</v>
      </c>
      <c r="D23" s="48">
        <v>2.3805000000000001</v>
      </c>
      <c r="E23" s="48"/>
      <c r="F23" s="48">
        <v>1.3999999999999999E-4</v>
      </c>
      <c r="G23" s="48">
        <v>36</v>
      </c>
      <c r="H23" s="48">
        <v>3.0558000000000001</v>
      </c>
      <c r="I23" s="40">
        <v>184</v>
      </c>
      <c r="J23" s="48">
        <v>154</v>
      </c>
      <c r="K23" s="48">
        <v>55</v>
      </c>
      <c r="L23" s="48">
        <f>300/(J23-K23)</f>
        <v>3.0303030303030303</v>
      </c>
      <c r="M23" s="41"/>
      <c r="N23" s="41"/>
      <c r="O23" s="50">
        <v>1.84</v>
      </c>
      <c r="P23" s="41">
        <f>O23*100</f>
        <v>184</v>
      </c>
      <c r="Q23" s="41"/>
      <c r="R23" s="88">
        <f>IF(P23&lt;J23,300+((P23-J23)*L23),IF(P23&lt;I23,F23*POWER((P23-G23),H23),B23*POWER((P23-C23),D23)))</f>
        <v>599.98492918880447</v>
      </c>
      <c r="S23" s="34"/>
      <c r="T23" s="52" t="s">
        <v>21</v>
      </c>
      <c r="U23" s="62">
        <v>1.38E-5</v>
      </c>
      <c r="V23" s="62">
        <v>35</v>
      </c>
      <c r="W23" s="62">
        <v>3.6019999999999999</v>
      </c>
      <c r="X23" s="62"/>
      <c r="Y23" s="62">
        <v>5.7000000000000001E-8</v>
      </c>
      <c r="Z23" s="62">
        <v>35</v>
      </c>
      <c r="AA23" s="62">
        <v>4.7263000000000002</v>
      </c>
      <c r="AB23" s="78">
        <v>167</v>
      </c>
      <c r="AC23" s="78">
        <v>149</v>
      </c>
      <c r="AD23" s="89">
        <v>50</v>
      </c>
      <c r="AE23" s="55">
        <f>300/(AC23-AD23)</f>
        <v>3.0303030303030303</v>
      </c>
      <c r="AF23" s="62"/>
      <c r="AG23" s="44"/>
      <c r="AH23" s="56">
        <v>1.71</v>
      </c>
      <c r="AI23" s="44">
        <f>AH23*100</f>
        <v>171</v>
      </c>
      <c r="AJ23" s="44"/>
      <c r="AK23" s="90">
        <f>IF(AI23&lt;AC23,300+((AI23-AC23)*AE23),IF(AI23&lt;AB23,Y23*POWER((AI23-Z23),AA23),600+U22*POWER((AI23-V22),W22)))</f>
        <v>746.43951552407123</v>
      </c>
    </row>
    <row r="24" spans="1:49" x14ac:dyDescent="0.35">
      <c r="A24" s="47" t="s">
        <v>59</v>
      </c>
      <c r="B24" s="48">
        <v>1.35</v>
      </c>
      <c r="C24" s="48">
        <v>79.5</v>
      </c>
      <c r="D24" s="48">
        <v>1.0960000000000001</v>
      </c>
      <c r="E24" s="48"/>
      <c r="F24" s="48">
        <v>0.79500000000000004</v>
      </c>
      <c r="G24" s="48">
        <v>79</v>
      </c>
      <c r="H24" s="48">
        <v>1.1908000000000001</v>
      </c>
      <c r="I24" s="40">
        <v>340</v>
      </c>
      <c r="J24" s="48">
        <v>225</v>
      </c>
      <c r="K24" s="48">
        <v>80</v>
      </c>
      <c r="L24" s="48">
        <f>300/(J24-K24)</f>
        <v>2.0689655172413794</v>
      </c>
      <c r="M24" s="41"/>
      <c r="N24" s="41"/>
      <c r="O24" s="50">
        <v>3.4</v>
      </c>
      <c r="P24" s="41">
        <f t="shared" ref="P24:P26" si="12">O24*100</f>
        <v>340</v>
      </c>
      <c r="Q24" s="41"/>
      <c r="R24" s="88">
        <f>IF(P24&lt;J24,300+(($P24-J24)*$L24),IF(P24&lt;I24,$F24*POWER((P24-$G24),$H24),$B24*POWER((P24-$C24),$D24)))</f>
        <v>599.87261738516543</v>
      </c>
      <c r="S24" s="34"/>
      <c r="T24" s="52" t="s">
        <v>59</v>
      </c>
      <c r="U24" s="76">
        <v>0.83</v>
      </c>
      <c r="V24" s="76">
        <v>99</v>
      </c>
      <c r="W24" s="76">
        <v>1.2356</v>
      </c>
      <c r="X24" s="62"/>
      <c r="Y24" s="62"/>
      <c r="Z24" s="62"/>
      <c r="AA24" s="62"/>
      <c r="AB24" s="89">
        <v>305</v>
      </c>
      <c r="AC24" s="78">
        <v>217</v>
      </c>
      <c r="AD24" s="89">
        <v>70</v>
      </c>
      <c r="AE24" s="55">
        <f t="shared" ref="AE24:AE30" si="13">300/(AC24-AD24)</f>
        <v>2.0408163265306123</v>
      </c>
      <c r="AF24" s="62"/>
      <c r="AG24" s="44"/>
      <c r="AH24" s="56">
        <v>3.05</v>
      </c>
      <c r="AI24" s="44">
        <f t="shared" ref="AI24:AI26" si="14">AH24*100</f>
        <v>305</v>
      </c>
      <c r="AJ24" s="44"/>
      <c r="AK24" s="91">
        <f>IF(AI24&lt;AC24,300+((AI24-AC24)*AE24),U24*POWER((AI24-V24),W24))</f>
        <v>599.91874195214905</v>
      </c>
      <c r="AN24" s="92"/>
      <c r="AP24" s="59"/>
      <c r="AQ24" s="59"/>
      <c r="AT24" s="92"/>
      <c r="AV24" s="59"/>
      <c r="AW24" s="59"/>
    </row>
    <row r="25" spans="1:49" x14ac:dyDescent="0.35">
      <c r="A25" s="47" t="s">
        <v>22</v>
      </c>
      <c r="B25" s="48">
        <v>1.431E-3</v>
      </c>
      <c r="C25" s="48">
        <v>135</v>
      </c>
      <c r="D25" s="48">
        <v>2.0865999999999998</v>
      </c>
      <c r="E25" s="48"/>
      <c r="F25" s="48">
        <v>1.5310000000000001E-4</v>
      </c>
      <c r="G25" s="48">
        <v>125</v>
      </c>
      <c r="H25" s="48">
        <v>2.4388999999999998</v>
      </c>
      <c r="I25" s="40">
        <v>630</v>
      </c>
      <c r="J25" s="48">
        <v>505</v>
      </c>
      <c r="K25" s="48">
        <v>155</v>
      </c>
      <c r="L25" s="48">
        <f>300/(J25-K25)</f>
        <v>0.8571428571428571</v>
      </c>
      <c r="M25" s="41"/>
      <c r="N25" s="41"/>
      <c r="O25" s="50">
        <v>6.3</v>
      </c>
      <c r="P25" s="41">
        <f t="shared" si="12"/>
        <v>630</v>
      </c>
      <c r="Q25" s="61">
        <v>0</v>
      </c>
      <c r="R25" s="88">
        <f>IF(P25&lt;J25,300+(($P25-J25)*$L25),IF(P25&lt;I25,$F25*POWER((P25-$G25),$H25),$B25*POWER((P25-$C25),$D25)))-(Q25*6)</f>
        <v>600.07128048486925</v>
      </c>
      <c r="S25" s="34"/>
      <c r="T25" s="52" t="s">
        <v>22</v>
      </c>
      <c r="U25" s="62">
        <v>2.61E-4</v>
      </c>
      <c r="V25" s="62">
        <v>130</v>
      </c>
      <c r="W25" s="62">
        <v>2.4348000000000001</v>
      </c>
      <c r="X25" s="62"/>
      <c r="Y25" s="76">
        <v>7.91E-12</v>
      </c>
      <c r="Z25" s="76">
        <v>60</v>
      </c>
      <c r="AA25" s="76">
        <v>5.1765999999999996</v>
      </c>
      <c r="AB25" s="89">
        <v>540</v>
      </c>
      <c r="AC25" s="89">
        <v>480</v>
      </c>
      <c r="AD25" s="89">
        <v>140</v>
      </c>
      <c r="AE25" s="55">
        <f t="shared" si="13"/>
        <v>0.88235294117647056</v>
      </c>
      <c r="AF25" s="76"/>
      <c r="AG25" s="44"/>
      <c r="AH25" s="56">
        <v>5.4</v>
      </c>
      <c r="AI25" s="44">
        <f t="shared" si="14"/>
        <v>540</v>
      </c>
      <c r="AJ25" s="64">
        <v>0</v>
      </c>
      <c r="AK25" s="91">
        <f>IF(AI25&lt;AC25,300+((AI25-AC25)*AE25),IF(AI25&lt;AB25,Y25*POWER((AI25-Z25),AA25),U25*POWER((AI25-V25),W25)))-(AJ25*6)</f>
        <v>600.13180241994041</v>
      </c>
      <c r="AM25" s="26" t="s">
        <v>60</v>
      </c>
      <c r="AP25" s="59"/>
      <c r="AQ25" s="59"/>
      <c r="AV25" s="59"/>
      <c r="AW25" s="59"/>
    </row>
    <row r="26" spans="1:49" x14ac:dyDescent="0.35">
      <c r="A26" s="47" t="s">
        <v>61</v>
      </c>
      <c r="B26" s="48">
        <v>8.5800000000000004E-4</v>
      </c>
      <c r="C26" s="48">
        <v>210</v>
      </c>
      <c r="D26" s="48">
        <v>1.9332</v>
      </c>
      <c r="E26" s="48"/>
      <c r="F26" s="48"/>
      <c r="G26" s="48"/>
      <c r="H26" s="48"/>
      <c r="I26" s="40">
        <v>1265</v>
      </c>
      <c r="J26" s="48">
        <v>947</v>
      </c>
      <c r="K26" s="48">
        <v>240</v>
      </c>
      <c r="L26" s="48">
        <f>300/(J26-K26)</f>
        <v>0.42432814710042432</v>
      </c>
      <c r="M26" s="41"/>
      <c r="N26" s="41"/>
      <c r="O26" s="50">
        <v>12.65</v>
      </c>
      <c r="P26" s="41">
        <f t="shared" si="12"/>
        <v>1265</v>
      </c>
      <c r="Q26" s="61">
        <v>0</v>
      </c>
      <c r="R26" s="88">
        <f>IF(P26&lt;J26,300+((P26-J26)*L26),B26*POWER((P26-C26),D26))-(Q26*6)</f>
        <v>599.84486141675393</v>
      </c>
      <c r="S26" s="34"/>
      <c r="T26" s="52" t="s">
        <v>61</v>
      </c>
      <c r="U26" s="76">
        <v>6.4999999999999997E-4</v>
      </c>
      <c r="V26" s="76">
        <v>260</v>
      </c>
      <c r="W26" s="76">
        <v>2.0398999999999998</v>
      </c>
      <c r="X26" s="62"/>
      <c r="Y26" s="62"/>
      <c r="Z26" s="62"/>
      <c r="AA26" s="62"/>
      <c r="AB26" s="89">
        <v>1100</v>
      </c>
      <c r="AC26" s="89">
        <v>858</v>
      </c>
      <c r="AD26" s="89">
        <v>200</v>
      </c>
      <c r="AE26" s="55">
        <f t="shared" si="13"/>
        <v>0.45592705167173253</v>
      </c>
      <c r="AF26" s="62"/>
      <c r="AG26" s="44"/>
      <c r="AH26" s="56">
        <v>11</v>
      </c>
      <c r="AI26" s="44">
        <f t="shared" si="14"/>
        <v>1100</v>
      </c>
      <c r="AJ26" s="64">
        <v>0</v>
      </c>
      <c r="AK26" s="91">
        <f>IF(AI26&lt;AC26,300+((AI26-AC26)*AE26),U26*POWER((AI26-V26),W26))-(AJ26*6)</f>
        <v>599.99920132150544</v>
      </c>
      <c r="AM26" s="26" t="s">
        <v>60</v>
      </c>
      <c r="AP26" s="59"/>
      <c r="AQ26" s="59"/>
      <c r="AV26" s="59"/>
      <c r="AW26" s="59"/>
    </row>
    <row r="27" spans="1:49" x14ac:dyDescent="0.35">
      <c r="A27" s="47" t="s">
        <v>23</v>
      </c>
      <c r="B27" s="48">
        <v>71</v>
      </c>
      <c r="C27" s="48">
        <v>2.98</v>
      </c>
      <c r="D27" s="48">
        <v>0.98550000000000004</v>
      </c>
      <c r="E27" s="48"/>
      <c r="F27" s="48"/>
      <c r="G27" s="48"/>
      <c r="H27" s="48"/>
      <c r="I27" s="40">
        <v>1170</v>
      </c>
      <c r="J27" s="49">
        <v>7.3</v>
      </c>
      <c r="K27" s="93">
        <v>3</v>
      </c>
      <c r="L27" s="40">
        <f>300/(J27-K27)</f>
        <v>69.767441860465112</v>
      </c>
      <c r="M27" s="41"/>
      <c r="N27" s="41"/>
      <c r="O27" s="50">
        <v>11.7</v>
      </c>
      <c r="P27" s="50">
        <f t="shared" ref="P27:P29" si="15">O27</f>
        <v>11.7</v>
      </c>
      <c r="Q27" s="50"/>
      <c r="R27" s="88">
        <f>IF(P27&lt;J27,300+((P27-J27)*L27),B27*POWER((P27-C27),D27))</f>
        <v>599.98078878528815</v>
      </c>
      <c r="S27" s="34"/>
      <c r="T27" s="52" t="s">
        <v>23</v>
      </c>
      <c r="U27" s="76">
        <v>54.5</v>
      </c>
      <c r="V27" s="76">
        <v>1.97</v>
      </c>
      <c r="W27" s="76">
        <v>1.107</v>
      </c>
      <c r="X27" s="53"/>
      <c r="Y27" s="53"/>
      <c r="Z27" s="53"/>
      <c r="AA27" s="53"/>
      <c r="AB27" s="54">
        <v>10.7</v>
      </c>
      <c r="AC27" s="78">
        <v>6.64</v>
      </c>
      <c r="AD27" s="54">
        <v>2</v>
      </c>
      <c r="AE27" s="55">
        <f t="shared" si="13"/>
        <v>64.65517241379311</v>
      </c>
      <c r="AF27" s="53"/>
      <c r="AG27" s="44"/>
      <c r="AH27" s="56">
        <v>10.7</v>
      </c>
      <c r="AI27" s="56">
        <f t="shared" ref="AI27:AI29" si="16">AH27</f>
        <v>10.7</v>
      </c>
      <c r="AJ27" s="56"/>
      <c r="AK27" s="91">
        <f>IF(AI27&lt;AC27,300+((AI27-AC27)*AE27),U27*POWER((AI27-V27),W27))</f>
        <v>599.92819082467884</v>
      </c>
      <c r="AP27" s="59"/>
      <c r="AQ27" s="59"/>
      <c r="AV27" s="59"/>
      <c r="AW27" s="59"/>
    </row>
    <row r="28" spans="1:49" x14ac:dyDescent="0.35">
      <c r="A28" s="47" t="s">
        <v>62</v>
      </c>
      <c r="B28" s="48">
        <v>36.4</v>
      </c>
      <c r="C28" s="48">
        <v>4.9800000000000004</v>
      </c>
      <c r="D28" s="48">
        <v>0.85019999999999996</v>
      </c>
      <c r="E28" s="48"/>
      <c r="F28" s="48"/>
      <c r="G28" s="48"/>
      <c r="H28" s="48"/>
      <c r="I28" s="40">
        <v>3200</v>
      </c>
      <c r="J28" s="49">
        <v>16.95</v>
      </c>
      <c r="K28" s="93">
        <v>5</v>
      </c>
      <c r="L28" s="40">
        <f t="shared" ref="L28:L30" si="17">300/(J28-K28)</f>
        <v>25.104602510460253</v>
      </c>
      <c r="M28" s="41"/>
      <c r="N28" s="41"/>
      <c r="O28" s="50">
        <v>32</v>
      </c>
      <c r="P28" s="50">
        <f t="shared" si="15"/>
        <v>32</v>
      </c>
      <c r="Q28" s="50"/>
      <c r="R28" s="88">
        <f>IF(P28&lt;J28,300+(($P28-J28)*$L28),$B28*POWER((P28-$C28),$D28))</f>
        <v>600.23354596848776</v>
      </c>
      <c r="S28" s="34"/>
      <c r="T28" s="52" t="s">
        <v>62</v>
      </c>
      <c r="U28" s="76">
        <v>15</v>
      </c>
      <c r="V28" s="76">
        <v>4.9000000000000004</v>
      </c>
      <c r="W28" s="76">
        <v>1.0833999999999999</v>
      </c>
      <c r="X28" s="53"/>
      <c r="Y28" s="53"/>
      <c r="Z28" s="53"/>
      <c r="AA28" s="53"/>
      <c r="AB28" s="54">
        <v>35</v>
      </c>
      <c r="AC28" s="54">
        <v>20.8</v>
      </c>
      <c r="AD28" s="54">
        <v>5</v>
      </c>
      <c r="AE28" s="55">
        <f t="shared" si="13"/>
        <v>18.987341772151897</v>
      </c>
      <c r="AF28" s="53"/>
      <c r="AG28" s="44"/>
      <c r="AH28" s="56">
        <v>35</v>
      </c>
      <c r="AI28" s="56">
        <f t="shared" si="16"/>
        <v>35</v>
      </c>
      <c r="AJ28" s="56"/>
      <c r="AK28" s="91">
        <f>IF(AI28&lt;AC28,300+((AI28-AC28)*AE28),U28*POWER((AI28-V28),W28))</f>
        <v>599.74992230934276</v>
      </c>
      <c r="AP28" s="59"/>
      <c r="AQ28" s="59"/>
      <c r="AV28" s="59"/>
      <c r="AW28" s="59"/>
    </row>
    <row r="29" spans="1:49" x14ac:dyDescent="0.35">
      <c r="A29" s="47" t="s">
        <v>63</v>
      </c>
      <c r="B29" s="48">
        <v>44.2</v>
      </c>
      <c r="C29" s="48">
        <v>4.9800000000000004</v>
      </c>
      <c r="D29" s="94">
        <v>0.76690000000000003</v>
      </c>
      <c r="E29" s="95"/>
      <c r="F29" s="95"/>
      <c r="G29" s="95"/>
      <c r="H29" s="95"/>
      <c r="I29" s="96">
        <v>3500</v>
      </c>
      <c r="J29" s="49">
        <v>17.149999999999999</v>
      </c>
      <c r="K29" s="93">
        <v>5</v>
      </c>
      <c r="L29" s="40">
        <f t="shared" si="17"/>
        <v>24.691358024691361</v>
      </c>
      <c r="M29" s="97"/>
      <c r="N29" s="41"/>
      <c r="O29" s="50">
        <v>35</v>
      </c>
      <c r="P29" s="50">
        <f t="shared" si="15"/>
        <v>35</v>
      </c>
      <c r="Q29" s="50"/>
      <c r="R29" s="88">
        <f>IF(P29&lt;J29,300+(($P29-J29)*$L29),$B29*POWER((P29-$C29),$D29))</f>
        <v>600.4108419056671</v>
      </c>
      <c r="S29" s="34"/>
      <c r="T29" s="52" t="s">
        <v>63</v>
      </c>
      <c r="U29" s="76">
        <v>23.25</v>
      </c>
      <c r="V29" s="76">
        <v>4.95</v>
      </c>
      <c r="W29" s="98">
        <v>0.93769999999999998</v>
      </c>
      <c r="X29" s="99"/>
      <c r="Y29" s="99"/>
      <c r="Z29" s="99"/>
      <c r="AA29" s="99"/>
      <c r="AB29" s="54">
        <v>37</v>
      </c>
      <c r="AC29" s="54">
        <v>20.25</v>
      </c>
      <c r="AD29" s="54">
        <v>5</v>
      </c>
      <c r="AE29" s="55">
        <f t="shared" si="13"/>
        <v>19.672131147540984</v>
      </c>
      <c r="AF29" s="99"/>
      <c r="AG29" s="44"/>
      <c r="AH29" s="56">
        <v>37</v>
      </c>
      <c r="AI29" s="56">
        <f t="shared" si="16"/>
        <v>37</v>
      </c>
      <c r="AJ29" s="56"/>
      <c r="AK29" s="91">
        <f>IF(AI29&lt;AC29,300+((AI29-AC29)*AE29),U29*POWER((AI29-V29),W29))</f>
        <v>600.39615812293471</v>
      </c>
      <c r="AP29" s="59"/>
      <c r="AQ29" s="59"/>
      <c r="AV29" s="59"/>
      <c r="AW29" s="59"/>
    </row>
    <row r="30" spans="1:49" x14ac:dyDescent="0.35">
      <c r="A30" s="47" t="s">
        <v>24</v>
      </c>
      <c r="B30" s="48">
        <v>24.75</v>
      </c>
      <c r="C30" s="48">
        <v>4.95</v>
      </c>
      <c r="D30" s="48">
        <v>0.88939999999999997</v>
      </c>
      <c r="E30" s="48"/>
      <c r="F30" s="48"/>
      <c r="G30" s="48"/>
      <c r="H30" s="48"/>
      <c r="I30" s="40">
        <v>4100</v>
      </c>
      <c r="J30" s="49">
        <v>21.5</v>
      </c>
      <c r="K30" s="93">
        <v>5</v>
      </c>
      <c r="L30" s="40">
        <f t="shared" si="17"/>
        <v>18.181818181818183</v>
      </c>
      <c r="M30" s="41"/>
      <c r="N30" s="41"/>
      <c r="O30" s="50">
        <v>41</v>
      </c>
      <c r="P30" s="50">
        <f>O30</f>
        <v>41</v>
      </c>
      <c r="Q30" s="50"/>
      <c r="R30" s="88">
        <f>IF(P30&lt;J30,300+(($P30-J30)*$L30),$B30*POWER((P30-$C30),$D30))</f>
        <v>600.18722824645829</v>
      </c>
      <c r="S30" s="34"/>
      <c r="T30" s="52" t="s">
        <v>24</v>
      </c>
      <c r="U30" s="76">
        <v>15</v>
      </c>
      <c r="V30" s="76">
        <v>4.9000000000000004</v>
      </c>
      <c r="W30" s="76">
        <v>1.0833999999999999</v>
      </c>
      <c r="X30" s="53"/>
      <c r="Y30" s="53"/>
      <c r="Z30" s="53"/>
      <c r="AA30" s="53"/>
      <c r="AB30" s="54">
        <v>35</v>
      </c>
      <c r="AC30" s="54">
        <v>20.8</v>
      </c>
      <c r="AD30" s="54">
        <v>5</v>
      </c>
      <c r="AE30" s="55">
        <f t="shared" si="13"/>
        <v>18.987341772151897</v>
      </c>
      <c r="AF30" s="53"/>
      <c r="AG30" s="44"/>
      <c r="AH30" s="56">
        <v>35</v>
      </c>
      <c r="AI30" s="56">
        <f>AH30</f>
        <v>35</v>
      </c>
      <c r="AJ30" s="56"/>
      <c r="AK30" s="91">
        <f>IF(AI30&lt;AC30,300+((AI30-AC30)*AE30),U30*POWER((AI30-V30),W30))</f>
        <v>599.74992230934276</v>
      </c>
      <c r="AP30" s="59"/>
      <c r="AQ30" s="59"/>
      <c r="AV30" s="59"/>
      <c r="AW30" s="71"/>
    </row>
    <row r="31" spans="1:49" x14ac:dyDescent="0.35">
      <c r="A31" s="100" t="s">
        <v>64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1"/>
      <c r="N31" s="41"/>
      <c r="O31" s="42" t="s">
        <v>65</v>
      </c>
      <c r="P31" s="41"/>
      <c r="Q31" s="41"/>
      <c r="R31" s="81"/>
      <c r="S31" s="34"/>
      <c r="T31" s="101" t="s">
        <v>64</v>
      </c>
      <c r="U31" s="53"/>
      <c r="V31" s="53"/>
      <c r="W31" s="53"/>
      <c r="X31" s="53"/>
      <c r="Y31" s="53"/>
      <c r="Z31" s="53"/>
      <c r="AA31" s="53"/>
      <c r="AB31" s="53"/>
      <c r="AC31" s="89"/>
      <c r="AD31" s="89"/>
      <c r="AE31" s="53"/>
      <c r="AF31" s="53"/>
      <c r="AG31" s="44"/>
      <c r="AH31" s="45" t="s">
        <v>65</v>
      </c>
      <c r="AI31" s="56"/>
      <c r="AJ31" s="56"/>
      <c r="AK31" s="58"/>
      <c r="AP31" s="59"/>
      <c r="AQ31" s="71"/>
      <c r="AV31" s="59"/>
      <c r="AW31" s="59"/>
    </row>
    <row r="32" spans="1:49" x14ac:dyDescent="0.35">
      <c r="A32" s="47" t="s">
        <v>66</v>
      </c>
      <c r="B32" s="40">
        <v>1.95E-2</v>
      </c>
      <c r="C32" s="40">
        <v>200</v>
      </c>
      <c r="D32" s="40">
        <v>1.2270000000000001</v>
      </c>
      <c r="E32" s="40"/>
      <c r="F32" s="40"/>
      <c r="G32" s="40"/>
      <c r="H32" s="40"/>
      <c r="I32" s="40"/>
      <c r="J32" s="40">
        <v>2785</v>
      </c>
      <c r="K32" s="40">
        <v>230</v>
      </c>
      <c r="L32" s="48">
        <f t="shared" ref="L32:L33" si="18">300/(J32-K32)</f>
        <v>0.11741682974559686</v>
      </c>
      <c r="M32" s="41"/>
      <c r="N32" s="41"/>
      <c r="O32" s="102">
        <v>4750</v>
      </c>
      <c r="P32" s="102">
        <f>O32</f>
        <v>4750</v>
      </c>
      <c r="Q32" s="102"/>
      <c r="R32" s="88">
        <f>IF(P32&lt;J32,300+((P32-J32)*L32),B32*POWER((P32-C32),D32))</f>
        <v>600.36393444571297</v>
      </c>
      <c r="S32" s="34"/>
      <c r="T32" s="52" t="s">
        <v>67</v>
      </c>
      <c r="U32" s="53">
        <v>3.7000000000000002E-3</v>
      </c>
      <c r="V32" s="53">
        <v>200</v>
      </c>
      <c r="W32" s="53">
        <v>1.4600500000000001</v>
      </c>
      <c r="X32" s="53"/>
      <c r="Y32" s="53"/>
      <c r="Z32" s="53"/>
      <c r="AA32" s="53"/>
      <c r="AB32" s="53">
        <v>3900</v>
      </c>
      <c r="AC32" s="53">
        <v>2500</v>
      </c>
      <c r="AD32" s="53">
        <v>250</v>
      </c>
      <c r="AE32" s="55">
        <f>300/(AC32-AD32)</f>
        <v>0.13333333333333333</v>
      </c>
      <c r="AF32" s="53"/>
      <c r="AG32" s="44"/>
      <c r="AH32" s="57">
        <v>3900</v>
      </c>
      <c r="AI32" s="57">
        <f>AH32</f>
        <v>3900</v>
      </c>
      <c r="AJ32" s="57"/>
      <c r="AK32" s="91">
        <f>IF(AI32&lt;AC32,300+((AI32-AC32)*AE32),U32*POWER((AI32-V32),W32))</f>
        <v>599.72844978415242</v>
      </c>
      <c r="AP32" s="59"/>
      <c r="AQ32" s="59"/>
      <c r="AV32" s="59"/>
      <c r="AW32" s="59"/>
    </row>
    <row r="33" spans="1:49" x14ac:dyDescent="0.35">
      <c r="A33" s="47" t="s">
        <v>68</v>
      </c>
      <c r="B33" s="40">
        <v>1.495E-2</v>
      </c>
      <c r="C33" s="40">
        <v>180</v>
      </c>
      <c r="D33" s="40">
        <v>1.3027</v>
      </c>
      <c r="E33" s="40"/>
      <c r="F33" s="40"/>
      <c r="G33" s="40"/>
      <c r="H33" s="40"/>
      <c r="I33" s="40"/>
      <c r="J33" s="40">
        <v>2190</v>
      </c>
      <c r="K33" s="40">
        <v>210</v>
      </c>
      <c r="L33" s="48">
        <f t="shared" si="18"/>
        <v>0.15151515151515152</v>
      </c>
      <c r="M33" s="41"/>
      <c r="N33" s="41"/>
      <c r="O33" s="102">
        <v>3600</v>
      </c>
      <c r="P33" s="102">
        <f>O33</f>
        <v>3600</v>
      </c>
      <c r="Q33" s="102"/>
      <c r="R33" s="88">
        <f>IF(P33&lt;J33,300+(($P33-J33)*$L33),$B33*POWER((P33-$C33),$D33))</f>
        <v>600.36726042626447</v>
      </c>
      <c r="S33" s="34"/>
      <c r="T33" s="52" t="s">
        <v>69</v>
      </c>
      <c r="U33" s="53">
        <v>5.62E-3</v>
      </c>
      <c r="V33" s="53">
        <v>150</v>
      </c>
      <c r="W33" s="53">
        <v>1.4688000000000001</v>
      </c>
      <c r="X33" s="53"/>
      <c r="Y33" s="53"/>
      <c r="Z33" s="53"/>
      <c r="AA33" s="53"/>
      <c r="AB33" s="53">
        <v>2800</v>
      </c>
      <c r="AC33" s="53">
        <v>1800</v>
      </c>
      <c r="AD33" s="53">
        <v>175</v>
      </c>
      <c r="AE33" s="55">
        <f>300/(AC33-AD33)</f>
        <v>0.18461538461538463</v>
      </c>
      <c r="AF33" s="53"/>
      <c r="AG33" s="44"/>
      <c r="AH33" s="57">
        <v>2800</v>
      </c>
      <c r="AI33" s="57">
        <f>AH33</f>
        <v>2800</v>
      </c>
      <c r="AJ33" s="57"/>
      <c r="AK33" s="91">
        <f>IF(AI33&lt;AC33,300+((AI33-AC33)*AE33),U33*POWER((AI33-V33),W33))</f>
        <v>599.51472597159966</v>
      </c>
      <c r="AP33" s="59"/>
      <c r="AQ33" s="59"/>
      <c r="AV33" s="59"/>
      <c r="AW33" s="71"/>
    </row>
    <row r="34" spans="1:49" x14ac:dyDescent="0.35">
      <c r="A34" s="47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1"/>
      <c r="N34" s="41"/>
      <c r="O34" s="102"/>
      <c r="P34" s="102"/>
      <c r="Q34" s="102"/>
      <c r="R34" s="51"/>
      <c r="S34" s="34"/>
      <c r="T34" s="101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44"/>
      <c r="AH34" s="44"/>
      <c r="AI34" s="44"/>
      <c r="AJ34" s="44"/>
      <c r="AK34" s="46"/>
      <c r="AP34" s="59"/>
      <c r="AQ34" s="59"/>
      <c r="AV34" s="59"/>
      <c r="AW34" s="71"/>
    </row>
    <row r="35" spans="1:49" x14ac:dyDescent="0.35">
      <c r="A35" s="103" t="s">
        <v>70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5"/>
      <c r="S35" s="106"/>
      <c r="T35" s="107" t="s">
        <v>71</v>
      </c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9"/>
      <c r="AP35" s="59"/>
      <c r="AQ35" s="59"/>
      <c r="AV35" s="59"/>
      <c r="AW35" s="59"/>
    </row>
    <row r="36" spans="1:49" x14ac:dyDescent="0.35">
      <c r="A36" s="47" t="s">
        <v>52</v>
      </c>
      <c r="B36" s="41">
        <v>1.37E-7</v>
      </c>
      <c r="C36" s="41">
        <v>28</v>
      </c>
      <c r="D36" s="41">
        <v>7.5518000000000001</v>
      </c>
      <c r="E36" s="41"/>
      <c r="F36" s="41"/>
      <c r="G36" s="41"/>
      <c r="H36" s="41"/>
      <c r="I36" s="41"/>
      <c r="J36" s="77">
        <v>10.75</v>
      </c>
      <c r="K36" s="49">
        <v>19.5</v>
      </c>
      <c r="L36" s="48">
        <f t="shared" ref="L36:L37" si="19">300/(K36-J36)</f>
        <v>34.285714285714285</v>
      </c>
      <c r="M36" s="41"/>
      <c r="N36" s="41"/>
      <c r="O36" s="50">
        <v>9.09</v>
      </c>
      <c r="P36" s="50">
        <f>O36</f>
        <v>9.09</v>
      </c>
      <c r="Q36" s="50"/>
      <c r="R36" s="51">
        <f>IF(P36&gt;J36,300-(($P36-J36)*$L36),($B36*POWER(($C36-P36),$D36)))</f>
        <v>599.8458446560013</v>
      </c>
      <c r="S36" s="34"/>
      <c r="T36" s="46" t="s">
        <v>72</v>
      </c>
      <c r="U36" s="44">
        <v>6.4499999999999997E-7</v>
      </c>
      <c r="V36" s="44">
        <v>570</v>
      </c>
      <c r="W36" s="44">
        <v>3.7347999999999999</v>
      </c>
      <c r="X36" s="44"/>
      <c r="Y36" s="44"/>
      <c r="Z36" s="44"/>
      <c r="AA36" s="44"/>
      <c r="AB36" s="44">
        <v>318</v>
      </c>
      <c r="AC36" s="44">
        <v>360.7</v>
      </c>
      <c r="AD36" s="44">
        <v>520</v>
      </c>
      <c r="AE36" s="55">
        <f t="shared" ref="AE36" si="20">300/(AD36-AC36)</f>
        <v>1.8832391713747645</v>
      </c>
      <c r="AF36" s="44"/>
      <c r="AG36" s="44">
        <v>5</v>
      </c>
      <c r="AH36" s="56">
        <v>18</v>
      </c>
      <c r="AI36" s="56">
        <f t="shared" ref="AI36" si="21">(AG36*60)+AH36</f>
        <v>318</v>
      </c>
      <c r="AJ36" s="56"/>
      <c r="AK36" s="58">
        <f>IF(AI36&gt;AC36,300-((AI36-AC36)*AE36),(U36*POWER((V36-AI36),W36)))</f>
        <v>600.21998872187055</v>
      </c>
      <c r="AP36" s="59"/>
      <c r="AQ36" s="59"/>
    </row>
    <row r="37" spans="1:49" x14ac:dyDescent="0.35">
      <c r="A37" s="47" t="s">
        <v>53</v>
      </c>
      <c r="B37" s="41">
        <v>9.9999999999999995E-7</v>
      </c>
      <c r="C37" s="41">
        <v>42</v>
      </c>
      <c r="D37" s="41">
        <v>6.1927000000000003</v>
      </c>
      <c r="E37" s="41"/>
      <c r="F37" s="41"/>
      <c r="G37" s="41"/>
      <c r="H37" s="41"/>
      <c r="I37" s="41"/>
      <c r="J37" s="77">
        <v>19.27</v>
      </c>
      <c r="K37" s="49">
        <v>32.5</v>
      </c>
      <c r="L37" s="48">
        <f t="shared" si="19"/>
        <v>22.675736961451246</v>
      </c>
      <c r="M37" s="41"/>
      <c r="N37" s="41"/>
      <c r="O37" s="50">
        <v>15.85</v>
      </c>
      <c r="P37" s="50">
        <f t="shared" ref="P37:P40" si="22">O37</f>
        <v>15.85</v>
      </c>
      <c r="Q37" s="61">
        <v>0</v>
      </c>
      <c r="R37" s="51">
        <f>IF(P37&gt;J37,300-(($P37-J37)*$L37),($B37*POWER(($C37-P37),$D37)))-(Q37*4)</f>
        <v>599.75924965151023</v>
      </c>
      <c r="S37" s="34"/>
      <c r="T37" s="110"/>
      <c r="U37" s="111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112"/>
      <c r="AN37" s="92"/>
      <c r="AP37" s="59"/>
      <c r="AQ37" s="59"/>
      <c r="AT37" s="92"/>
      <c r="AV37" s="59"/>
      <c r="AW37" s="59"/>
    </row>
    <row r="38" spans="1:49" x14ac:dyDescent="0.35">
      <c r="A38" s="47" t="s">
        <v>73</v>
      </c>
      <c r="B38" s="48">
        <v>53.2</v>
      </c>
      <c r="C38" s="48">
        <v>1.99</v>
      </c>
      <c r="D38" s="48">
        <v>1.0298</v>
      </c>
      <c r="E38" s="41"/>
      <c r="F38" s="41"/>
      <c r="G38" s="41"/>
      <c r="H38" s="41"/>
      <c r="I38" s="41"/>
      <c r="J38" s="77">
        <v>7.35</v>
      </c>
      <c r="K38" s="49">
        <v>2</v>
      </c>
      <c r="L38" s="40">
        <f t="shared" ref="L38:L41" si="23">300/(J38-K38)</f>
        <v>56.074766355140191</v>
      </c>
      <c r="M38" s="41"/>
      <c r="N38" s="41"/>
      <c r="O38" s="50">
        <v>12.5</v>
      </c>
      <c r="P38" s="50">
        <f t="shared" si="22"/>
        <v>12.5</v>
      </c>
      <c r="Q38" s="50"/>
      <c r="R38" s="88">
        <f>IF(P38&lt;J38,300+(($P38-J38)*$L38),$B38*POWER((P38-$C38),$D38))</f>
        <v>599.73322500300162</v>
      </c>
      <c r="S38" s="34"/>
      <c r="T38" s="110"/>
      <c r="U38" s="111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112"/>
      <c r="AP38" s="59"/>
      <c r="AQ38" s="59"/>
      <c r="AV38" s="59"/>
      <c r="AW38" s="59"/>
    </row>
    <row r="39" spans="1:49" x14ac:dyDescent="0.35">
      <c r="A39" s="47" t="s">
        <v>74</v>
      </c>
      <c r="B39" s="48">
        <v>30</v>
      </c>
      <c r="C39" s="48">
        <v>4.9800000000000004</v>
      </c>
      <c r="D39" s="48">
        <v>0.88049999999999995</v>
      </c>
      <c r="E39" s="41"/>
      <c r="F39" s="41"/>
      <c r="G39" s="41"/>
      <c r="H39" s="41"/>
      <c r="I39" s="41"/>
      <c r="J39" s="49">
        <v>18.649999999999999</v>
      </c>
      <c r="K39" s="49">
        <v>5</v>
      </c>
      <c r="L39" s="40">
        <f t="shared" si="23"/>
        <v>21.978021978021982</v>
      </c>
      <c r="M39" s="41"/>
      <c r="N39" s="41"/>
      <c r="O39" s="50">
        <v>35</v>
      </c>
      <c r="P39" s="50">
        <f t="shared" si="22"/>
        <v>35</v>
      </c>
      <c r="Q39" s="50"/>
      <c r="R39" s="88">
        <f>IF(P39&lt;J39,300+(($P39-J39)*$L39),$B39*POWER((P39-$C39),$D39))</f>
        <v>599.7653411511543</v>
      </c>
      <c r="S39" s="34"/>
      <c r="T39" s="110"/>
      <c r="U39" s="111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112"/>
      <c r="AP39" s="59"/>
      <c r="AQ39" s="59"/>
      <c r="AV39" s="59"/>
      <c r="AW39" s="71"/>
    </row>
    <row r="40" spans="1:49" x14ac:dyDescent="0.35">
      <c r="A40" s="47" t="s">
        <v>75</v>
      </c>
      <c r="B40" s="48">
        <v>34.25</v>
      </c>
      <c r="C40" s="48">
        <v>4.9800000000000004</v>
      </c>
      <c r="D40" s="94">
        <v>0.81159999999999999</v>
      </c>
      <c r="E40" s="97"/>
      <c r="F40" s="97"/>
      <c r="G40" s="97"/>
      <c r="H40" s="97"/>
      <c r="I40" s="97"/>
      <c r="J40" s="49">
        <v>19.5</v>
      </c>
      <c r="K40" s="49">
        <v>5</v>
      </c>
      <c r="L40" s="40">
        <f t="shared" si="23"/>
        <v>20.689655172413794</v>
      </c>
      <c r="M40" s="97"/>
      <c r="N40" s="41"/>
      <c r="O40" s="50">
        <v>39</v>
      </c>
      <c r="P40" s="50">
        <f t="shared" si="22"/>
        <v>39</v>
      </c>
      <c r="Q40" s="50"/>
      <c r="R40" s="88">
        <f>IF(P40&lt;J40,300+(($P40-J40)*$L40),$B40*POWER((P40-$C40),$D40))</f>
        <v>599.53720817710769</v>
      </c>
      <c r="S40" s="34"/>
      <c r="T40" s="101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56"/>
      <c r="AI40" s="56"/>
      <c r="AJ40" s="56"/>
      <c r="AK40" s="58"/>
      <c r="AP40" s="59"/>
      <c r="AQ40" s="59"/>
      <c r="AV40" s="59"/>
      <c r="AW40" s="59"/>
    </row>
    <row r="41" spans="1:49" x14ac:dyDescent="0.35">
      <c r="A41" s="47" t="s">
        <v>66</v>
      </c>
      <c r="B41" s="41">
        <v>1.95E-2</v>
      </c>
      <c r="C41" s="41">
        <v>200</v>
      </c>
      <c r="D41" s="41">
        <v>1.2270000000000001</v>
      </c>
      <c r="E41" s="41"/>
      <c r="F41" s="41"/>
      <c r="G41" s="41"/>
      <c r="H41" s="41"/>
      <c r="I41" s="41"/>
      <c r="J41" s="113">
        <v>2785</v>
      </c>
      <c r="K41" s="113">
        <v>225</v>
      </c>
      <c r="L41" s="48">
        <f t="shared" si="23"/>
        <v>0.1171875</v>
      </c>
      <c r="M41" s="41"/>
      <c r="N41" s="41"/>
      <c r="O41" s="102">
        <v>4750</v>
      </c>
      <c r="P41" s="102">
        <f>O41</f>
        <v>4750</v>
      </c>
      <c r="Q41" s="102"/>
      <c r="R41" s="88">
        <f>IF(P41&lt;J41,300+(($P41-J41)*$L41),$B41*POWER((P41-$C41),$D41))</f>
        <v>600.36393444571297</v>
      </c>
      <c r="S41" s="34"/>
      <c r="T41" s="110"/>
      <c r="U41" s="111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112"/>
      <c r="AP41" s="59"/>
      <c r="AQ41" s="59"/>
      <c r="AV41" s="59"/>
      <c r="AW41" s="59"/>
    </row>
    <row r="42" spans="1:49" x14ac:dyDescent="0.35">
      <c r="A42" s="103" t="s">
        <v>76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5"/>
      <c r="S42" s="106"/>
      <c r="T42" s="107" t="s">
        <v>77</v>
      </c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9"/>
      <c r="AP42" s="59"/>
      <c r="AQ42" s="59"/>
      <c r="AV42" s="59"/>
      <c r="AW42" s="59"/>
    </row>
    <row r="43" spans="1:49" x14ac:dyDescent="0.35">
      <c r="A43" s="47" t="s">
        <v>52</v>
      </c>
      <c r="B43" s="41">
        <v>1.97E-9</v>
      </c>
      <c r="C43" s="41">
        <v>30</v>
      </c>
      <c r="D43" s="41">
        <v>8.6791999999999998</v>
      </c>
      <c r="E43" s="41"/>
      <c r="F43" s="41"/>
      <c r="G43" s="41"/>
      <c r="H43" s="41"/>
      <c r="I43" s="41"/>
      <c r="J43" s="77">
        <v>10.57</v>
      </c>
      <c r="K43" s="49">
        <v>19.5</v>
      </c>
      <c r="L43" s="48">
        <f t="shared" ref="L43:L46" si="24">300/(K43-J43)</f>
        <v>33.5946248600224</v>
      </c>
      <c r="M43" s="41"/>
      <c r="N43" s="41"/>
      <c r="O43" s="50">
        <v>8.9499999999999993</v>
      </c>
      <c r="P43" s="50">
        <f>O43</f>
        <v>8.9499999999999993</v>
      </c>
      <c r="Q43" s="50"/>
      <c r="R43" s="51">
        <f>IF(P43&gt;J43,300-(($P43-J43)*$L43),($B43*POWER(($C43-P43),$D43)))</f>
        <v>601.50030788090692</v>
      </c>
      <c r="S43" s="34"/>
      <c r="T43" s="52">
        <v>300</v>
      </c>
      <c r="U43" s="66">
        <v>8.2000000000000002E-20</v>
      </c>
      <c r="V43" s="44">
        <v>110</v>
      </c>
      <c r="W43" s="44">
        <v>11.8789</v>
      </c>
      <c r="X43" s="44"/>
      <c r="Y43" s="44"/>
      <c r="Z43" s="44"/>
      <c r="AA43" s="44"/>
      <c r="AB43" s="54">
        <v>40.72</v>
      </c>
      <c r="AC43" s="54">
        <v>44.65</v>
      </c>
      <c r="AD43" s="67">
        <v>70</v>
      </c>
      <c r="AE43" s="55">
        <f t="shared" ref="AE43:AE46" si="25">300/(AD43-AC43)</f>
        <v>11.834319526627219</v>
      </c>
      <c r="AF43" s="44"/>
      <c r="AG43" s="44"/>
      <c r="AH43" s="56">
        <v>40.72</v>
      </c>
      <c r="AI43" s="56">
        <f t="shared" ref="AI43:AI44" si="26">AH43</f>
        <v>40.72</v>
      </c>
      <c r="AJ43" s="56"/>
      <c r="AK43" s="58">
        <f>IF(AI43&gt;AC43,300-((AI43-AC43)*AE43),(U43*POWER((V43-AI43),W43)))</f>
        <v>600.08225761135361</v>
      </c>
      <c r="AP43" s="59"/>
      <c r="AQ43" s="59"/>
      <c r="AV43" s="59"/>
      <c r="AW43" s="71"/>
    </row>
    <row r="44" spans="1:49" x14ac:dyDescent="0.35">
      <c r="A44" s="47" t="s">
        <v>54</v>
      </c>
      <c r="B44" s="41">
        <v>3.92E-8</v>
      </c>
      <c r="C44" s="41">
        <v>42</v>
      </c>
      <c r="D44" s="41">
        <v>7.0754000000000001</v>
      </c>
      <c r="E44" s="41"/>
      <c r="F44" s="41"/>
      <c r="G44" s="41"/>
      <c r="H44" s="41"/>
      <c r="I44" s="41"/>
      <c r="J44" s="77">
        <v>17.059999999999999</v>
      </c>
      <c r="K44" s="49">
        <v>31</v>
      </c>
      <c r="L44" s="48">
        <f t="shared" si="24"/>
        <v>21.52080344332855</v>
      </c>
      <c r="M44" s="41"/>
      <c r="N44" s="41"/>
      <c r="O44" s="50">
        <v>14.49</v>
      </c>
      <c r="P44" s="50">
        <f t="shared" ref="P44:P49" si="27">O44</f>
        <v>14.49</v>
      </c>
      <c r="Q44" s="61">
        <v>0</v>
      </c>
      <c r="R44" s="51">
        <f>IF(P44&gt;J44,300-(($P44-J44)*$L44),($B44*POWER(($C44-P44),$D44)))-(Q44*4)</f>
        <v>600.14720833929721</v>
      </c>
      <c r="S44" s="34"/>
      <c r="T44" s="52" t="s">
        <v>52</v>
      </c>
      <c r="U44" s="44">
        <v>1.5E-6</v>
      </c>
      <c r="V44" s="44">
        <v>22</v>
      </c>
      <c r="W44" s="44">
        <v>7.7575000000000003</v>
      </c>
      <c r="X44" s="44"/>
      <c r="Y44" s="44"/>
      <c r="Z44" s="44"/>
      <c r="AA44" s="44"/>
      <c r="AB44" s="54">
        <v>9.15</v>
      </c>
      <c r="AC44" s="78">
        <v>10.25</v>
      </c>
      <c r="AD44" s="54">
        <v>16.25</v>
      </c>
      <c r="AE44" s="55">
        <f t="shared" si="25"/>
        <v>50</v>
      </c>
      <c r="AF44" s="44"/>
      <c r="AG44" s="44"/>
      <c r="AH44" s="56">
        <v>9.15</v>
      </c>
      <c r="AI44" s="56">
        <f t="shared" si="26"/>
        <v>9.15</v>
      </c>
      <c r="AJ44" s="44"/>
      <c r="AK44" s="58">
        <f>IF(AI44&gt;AC44,300-((AI44-AC44)*AE44),(U44*POWER((V44-AI44),W44)))</f>
        <v>600.35381112199491</v>
      </c>
      <c r="AP44" s="59"/>
      <c r="AQ44" s="59"/>
      <c r="AV44" s="59"/>
      <c r="AW44" s="59"/>
    </row>
    <row r="45" spans="1:49" x14ac:dyDescent="0.35">
      <c r="A45" s="47" t="s">
        <v>55</v>
      </c>
      <c r="B45" s="79">
        <v>7.3200000000000003E-11</v>
      </c>
      <c r="C45" s="79">
        <v>150</v>
      </c>
      <c r="D45" s="79">
        <v>6.5918000000000001</v>
      </c>
      <c r="E45" s="41"/>
      <c r="F45" s="41"/>
      <c r="G45" s="41"/>
      <c r="H45" s="41"/>
      <c r="I45" s="41"/>
      <c r="J45" s="77">
        <v>68.099999999999994</v>
      </c>
      <c r="K45" s="65">
        <v>115</v>
      </c>
      <c r="L45" s="48">
        <f t="shared" si="24"/>
        <v>6.3965884861407245</v>
      </c>
      <c r="M45" s="41"/>
      <c r="N45" s="41"/>
      <c r="O45" s="50">
        <v>59</v>
      </c>
      <c r="P45" s="50">
        <f t="shared" ref="P45:P46" si="28">(N45*60)+O45</f>
        <v>59</v>
      </c>
      <c r="Q45" s="50"/>
      <c r="R45" s="51">
        <f>IF(P45&gt;J45,300-(($P45-J45)*$L45),($B45*POWER(($C45-P45),$D45)))</f>
        <v>599.95700846850593</v>
      </c>
      <c r="S45" s="34"/>
      <c r="T45" s="46" t="s">
        <v>78</v>
      </c>
      <c r="U45" s="44">
        <v>7.2499999999999998E-10</v>
      </c>
      <c r="V45" s="44">
        <v>35</v>
      </c>
      <c r="W45" s="44">
        <v>8.7591999999999999</v>
      </c>
      <c r="X45" s="44"/>
      <c r="Y45" s="44"/>
      <c r="Z45" s="44"/>
      <c r="AA45" s="44"/>
      <c r="AB45" s="54">
        <f>15.35*(11.65/14.83)</f>
        <v>12.058496291301415</v>
      </c>
      <c r="AC45" s="54">
        <v>13.8</v>
      </c>
      <c r="AD45" s="54">
        <v>23.5</v>
      </c>
      <c r="AE45" s="55">
        <f t="shared" si="25"/>
        <v>30.927835051546396</v>
      </c>
      <c r="AF45" s="44"/>
      <c r="AG45" s="44"/>
      <c r="AH45" s="56">
        <v>12.06</v>
      </c>
      <c r="AI45" s="56">
        <f>AH45</f>
        <v>12.06</v>
      </c>
      <c r="AJ45" s="64">
        <v>0</v>
      </c>
      <c r="AK45" s="58">
        <f>IF(AI45&gt;AC45,300-((AI45-AC45)*AE45),(U45*POWER((V45-AI45),W45)))-(AJ45*4)</f>
        <v>599.85714292349439</v>
      </c>
      <c r="AP45" s="59"/>
      <c r="AQ45" s="71"/>
      <c r="AV45" s="59"/>
      <c r="AW45" s="59"/>
    </row>
    <row r="46" spans="1:49" x14ac:dyDescent="0.35">
      <c r="A46" s="47" t="s">
        <v>72</v>
      </c>
      <c r="B46" s="48">
        <v>4.1999999999999996E-6</v>
      </c>
      <c r="C46" s="48">
        <v>520</v>
      </c>
      <c r="D46" s="48">
        <v>3.4392999999999998</v>
      </c>
      <c r="E46" s="41"/>
      <c r="F46" s="41"/>
      <c r="G46" s="41"/>
      <c r="H46" s="41"/>
      <c r="I46" s="41"/>
      <c r="J46" s="69">
        <v>327.8</v>
      </c>
      <c r="K46" s="69">
        <v>480</v>
      </c>
      <c r="L46" s="48">
        <f t="shared" si="24"/>
        <v>1.971090670170828</v>
      </c>
      <c r="M46" s="41"/>
      <c r="N46" s="41">
        <v>4</v>
      </c>
      <c r="O46" s="50">
        <v>45</v>
      </c>
      <c r="P46" s="50">
        <f t="shared" si="28"/>
        <v>285</v>
      </c>
      <c r="Q46" s="50"/>
      <c r="R46" s="51">
        <f t="shared" ref="R46" si="29">IF(P46&gt;J46,300-(($P46-J46)*$L46),($B46*POWER(($C46-P46),$D46)))</f>
        <v>599.87807493272328</v>
      </c>
      <c r="S46" s="34"/>
      <c r="T46" s="46" t="s">
        <v>79</v>
      </c>
      <c r="U46" s="44">
        <v>1.955E-13</v>
      </c>
      <c r="V46" s="44">
        <v>120</v>
      </c>
      <c r="W46" s="44">
        <v>8.2821999999999996</v>
      </c>
      <c r="X46" s="44"/>
      <c r="Y46" s="44"/>
      <c r="Z46" s="44"/>
      <c r="AA46" s="44"/>
      <c r="AB46" s="54">
        <f>64.5*(44.5/62.56)</f>
        <v>45.879955242966751</v>
      </c>
      <c r="AC46" s="78">
        <v>51.84</v>
      </c>
      <c r="AD46" s="54">
        <v>85</v>
      </c>
      <c r="AE46" s="55">
        <f t="shared" si="25"/>
        <v>9.0470446320868518</v>
      </c>
      <c r="AF46" s="44"/>
      <c r="AG46" s="44"/>
      <c r="AH46" s="56">
        <v>45.88</v>
      </c>
      <c r="AI46" s="56">
        <f>AH46</f>
        <v>45.88</v>
      </c>
      <c r="AJ46" s="56"/>
      <c r="AK46" s="58">
        <f>IF(AI46&gt;AC46,300-((AI46-AC46)*AE46),(U46*POWER((V46-AI46),W46)))</f>
        <v>600.24122502774117</v>
      </c>
      <c r="AP46" s="59"/>
      <c r="AQ46" s="71"/>
      <c r="AV46" s="59"/>
      <c r="AW46" s="71"/>
    </row>
    <row r="47" spans="1:49" x14ac:dyDescent="0.35">
      <c r="A47" s="47" t="s">
        <v>80</v>
      </c>
      <c r="B47" s="48">
        <v>39.25</v>
      </c>
      <c r="C47" s="48">
        <v>1.95</v>
      </c>
      <c r="D47" s="48">
        <v>1.1225000000000001</v>
      </c>
      <c r="E47" s="41"/>
      <c r="F47" s="41"/>
      <c r="G47" s="41"/>
      <c r="H47" s="41"/>
      <c r="I47" s="41"/>
      <c r="J47" s="77">
        <v>8.08</v>
      </c>
      <c r="K47" s="49">
        <v>2</v>
      </c>
      <c r="L47" s="40">
        <f t="shared" ref="L47:L51" si="30">300/(J47-K47)</f>
        <v>49.342105263157897</v>
      </c>
      <c r="M47" s="41"/>
      <c r="N47" s="41"/>
      <c r="O47" s="50">
        <v>13.3</v>
      </c>
      <c r="P47" s="50">
        <f t="shared" si="27"/>
        <v>13.3</v>
      </c>
      <c r="Q47" s="50"/>
      <c r="R47" s="88">
        <f>IF(P47&lt;J47,300+(($P47-J47)*$L47),$B47*POWER((P47-$C47),$D47))</f>
        <v>599.89123380207081</v>
      </c>
      <c r="S47" s="34"/>
      <c r="T47" s="46" t="s">
        <v>81</v>
      </c>
      <c r="U47" s="55">
        <v>39.25</v>
      </c>
      <c r="V47" s="55">
        <v>1.97</v>
      </c>
      <c r="W47" s="55">
        <v>1.1825000000000001</v>
      </c>
      <c r="X47" s="44"/>
      <c r="Y47" s="44"/>
      <c r="Z47" s="44"/>
      <c r="AA47" s="44"/>
      <c r="AB47" s="54">
        <v>12</v>
      </c>
      <c r="AC47" s="78">
        <v>7.55</v>
      </c>
      <c r="AD47" s="54">
        <v>2</v>
      </c>
      <c r="AE47" s="55">
        <f t="shared" ref="AE47:AE49" si="31">300/(AC47-AD47)</f>
        <v>54.054054054054056</v>
      </c>
      <c r="AF47" s="44"/>
      <c r="AG47" s="44"/>
      <c r="AH47" s="56">
        <v>12</v>
      </c>
      <c r="AI47" s="56">
        <f t="shared" ref="AI47:AI48" si="32">AH47</f>
        <v>12</v>
      </c>
      <c r="AJ47" s="56"/>
      <c r="AK47" s="91">
        <f>IF(AI47&lt;AC47,300+((AI47-AC47)*AE47),U47*POWER((AI47-V47),W47))</f>
        <v>599.62262923150274</v>
      </c>
      <c r="AP47" s="59"/>
      <c r="AQ47" s="59"/>
      <c r="AV47" s="59"/>
      <c r="AW47" s="59"/>
    </row>
    <row r="48" spans="1:49" x14ac:dyDescent="0.35">
      <c r="A48" s="47" t="s">
        <v>82</v>
      </c>
      <c r="B48" s="48">
        <v>23.75</v>
      </c>
      <c r="C48" s="48">
        <v>4.95</v>
      </c>
      <c r="D48" s="48">
        <v>0.92320000000000002</v>
      </c>
      <c r="E48" s="41"/>
      <c r="F48" s="41"/>
      <c r="G48" s="41"/>
      <c r="H48" s="41"/>
      <c r="I48" s="41"/>
      <c r="J48" s="49">
        <v>20.55</v>
      </c>
      <c r="K48" s="49">
        <v>5</v>
      </c>
      <c r="L48" s="40">
        <f t="shared" si="30"/>
        <v>19.292604501607716</v>
      </c>
      <c r="M48" s="41"/>
      <c r="N48" s="41"/>
      <c r="O48" s="50">
        <v>38</v>
      </c>
      <c r="P48" s="50">
        <f t="shared" si="27"/>
        <v>38</v>
      </c>
      <c r="Q48" s="50"/>
      <c r="R48" s="88">
        <f>IF(P48&lt;J48,300+(($P48-J48)*$L48),$B48*POWER((P48-$C48),$D48))</f>
        <v>600.01583137117802</v>
      </c>
      <c r="S48" s="34"/>
      <c r="T48" s="46" t="s">
        <v>83</v>
      </c>
      <c r="U48" s="74">
        <v>10.35</v>
      </c>
      <c r="V48" s="74">
        <v>1.8</v>
      </c>
      <c r="W48" s="114">
        <v>1.0849</v>
      </c>
      <c r="X48" s="115"/>
      <c r="Y48" s="55">
        <v>0.1575</v>
      </c>
      <c r="Z48" s="55">
        <v>3</v>
      </c>
      <c r="AA48" s="116">
        <v>2.2202000000000002</v>
      </c>
      <c r="AB48" s="54">
        <v>44</v>
      </c>
      <c r="AC48" s="54">
        <v>33</v>
      </c>
      <c r="AD48" s="54">
        <v>5</v>
      </c>
      <c r="AE48" s="55">
        <f t="shared" si="31"/>
        <v>10.714285714285714</v>
      </c>
      <c r="AF48" s="115"/>
      <c r="AG48" s="44"/>
      <c r="AH48" s="56">
        <v>44</v>
      </c>
      <c r="AI48" s="56">
        <f t="shared" si="32"/>
        <v>44</v>
      </c>
      <c r="AJ48" s="56"/>
      <c r="AK48" s="91">
        <f>IF(AI48&lt;AC48,300+((AI48-AC48)*AE48),IF(AI48&lt;AB48,Y48*POWER((AI48-Z48),AA48),U48*POWER((AI48-V48),W48)))</f>
        <v>600.12515043257406</v>
      </c>
      <c r="AP48" s="59"/>
      <c r="AQ48" s="59"/>
    </row>
    <row r="49" spans="1:37" x14ac:dyDescent="0.35">
      <c r="A49" s="47" t="s">
        <v>84</v>
      </c>
      <c r="B49" s="48">
        <v>26.75</v>
      </c>
      <c r="C49" s="48">
        <v>4.9800000000000004</v>
      </c>
      <c r="D49" s="94">
        <v>0.84319999999999995</v>
      </c>
      <c r="E49" s="97"/>
      <c r="F49" s="97"/>
      <c r="G49" s="97"/>
      <c r="H49" s="97"/>
      <c r="I49" s="97"/>
      <c r="J49" s="49">
        <v>22.55</v>
      </c>
      <c r="K49" s="49">
        <v>5</v>
      </c>
      <c r="L49" s="40">
        <f t="shared" si="30"/>
        <v>17.094017094017094</v>
      </c>
      <c r="M49" s="97"/>
      <c r="N49" s="41"/>
      <c r="O49" s="50">
        <v>45</v>
      </c>
      <c r="P49" s="50">
        <f t="shared" si="27"/>
        <v>45</v>
      </c>
      <c r="Q49" s="50"/>
      <c r="R49" s="88">
        <f>IF(P49&lt;J49,300+(($P49-J49)*$L49),$B49*POWER((P49-$C49),$D49))</f>
        <v>600.29375296745911</v>
      </c>
      <c r="S49" s="34"/>
      <c r="T49" s="110" t="s">
        <v>85</v>
      </c>
      <c r="U49" s="55">
        <v>18.55</v>
      </c>
      <c r="V49" s="55">
        <v>4.95</v>
      </c>
      <c r="W49" s="55">
        <v>1.012</v>
      </c>
      <c r="X49" s="55"/>
      <c r="Y49" s="55"/>
      <c r="Z49" s="55"/>
      <c r="AA49" s="55"/>
      <c r="AB49" s="117">
        <v>36</v>
      </c>
      <c r="AC49" s="117">
        <v>20.6</v>
      </c>
      <c r="AD49" s="117">
        <v>5</v>
      </c>
      <c r="AE49" s="55">
        <f t="shared" si="31"/>
        <v>19.23076923076923</v>
      </c>
      <c r="AF49" s="55"/>
      <c r="AG49" s="55"/>
      <c r="AH49" s="56">
        <v>36</v>
      </c>
      <c r="AI49" s="56">
        <f>AH49</f>
        <v>36</v>
      </c>
      <c r="AJ49" s="56"/>
      <c r="AK49" s="91">
        <f>IF(AI49&lt;AC49,300+((AI49-AC49)*AE49),U49*POWER((AI49-V49),W49))</f>
        <v>600.21971697020763</v>
      </c>
    </row>
    <row r="50" spans="1:37" x14ac:dyDescent="0.35">
      <c r="A50" s="47" t="s">
        <v>86</v>
      </c>
      <c r="B50" s="48">
        <v>17.5</v>
      </c>
      <c r="C50" s="48">
        <v>4.95</v>
      </c>
      <c r="D50" s="48">
        <v>0.96460000000000001</v>
      </c>
      <c r="E50" s="41"/>
      <c r="F50" s="41"/>
      <c r="G50" s="41"/>
      <c r="H50" s="41"/>
      <c r="I50" s="41"/>
      <c r="J50" s="49">
        <v>24</v>
      </c>
      <c r="K50" s="49">
        <v>5</v>
      </c>
      <c r="L50" s="40">
        <f t="shared" si="30"/>
        <v>15.789473684210526</v>
      </c>
      <c r="M50" s="41"/>
      <c r="N50" s="41"/>
      <c r="O50" s="50">
        <v>44</v>
      </c>
      <c r="P50" s="50">
        <f>O50</f>
        <v>44</v>
      </c>
      <c r="Q50" s="50"/>
      <c r="R50" s="88">
        <f>IF(P50&lt;J50,300+(($P50-J50)*$L50),$B50*POWER((P50-$C50),$D50))</f>
        <v>600.22724152850014</v>
      </c>
      <c r="S50" s="34"/>
      <c r="T50" s="110"/>
      <c r="U50" s="111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112"/>
    </row>
    <row r="51" spans="1:37" x14ac:dyDescent="0.35">
      <c r="A51" s="47" t="s">
        <v>87</v>
      </c>
      <c r="B51" s="41">
        <v>1.8200000000000001E-2</v>
      </c>
      <c r="C51" s="41">
        <v>180</v>
      </c>
      <c r="D51" s="41">
        <v>1.2669999999999999</v>
      </c>
      <c r="E51" s="41"/>
      <c r="F51" s="41"/>
      <c r="G51" s="41"/>
      <c r="H51" s="41"/>
      <c r="I51" s="41"/>
      <c r="J51" s="113">
        <v>2310</v>
      </c>
      <c r="K51" s="113">
        <v>210</v>
      </c>
      <c r="L51" s="48">
        <f t="shared" si="30"/>
        <v>0.14285714285714285</v>
      </c>
      <c r="M51" s="41"/>
      <c r="N51" s="41"/>
      <c r="O51" s="102">
        <v>3860</v>
      </c>
      <c r="P51" s="102">
        <f>O51</f>
        <v>3860</v>
      </c>
      <c r="Q51" s="102"/>
      <c r="R51" s="88">
        <f>IF(P51&lt;J51,300+(($P51-J51)*$L51),$B51*POWER((P51-$C51),$D51))</f>
        <v>599.79186932777168</v>
      </c>
      <c r="S51" s="34"/>
      <c r="T51" s="110"/>
      <c r="U51" s="111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112"/>
    </row>
    <row r="52" spans="1:37" x14ac:dyDescent="0.35">
      <c r="A52" s="103" t="s">
        <v>88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5"/>
      <c r="S52" s="106"/>
      <c r="T52" s="107" t="s">
        <v>89</v>
      </c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9"/>
    </row>
    <row r="53" spans="1:37" x14ac:dyDescent="0.35">
      <c r="A53" s="47" t="s">
        <v>52</v>
      </c>
      <c r="B53" s="41">
        <v>4.6599999999999999E-11</v>
      </c>
      <c r="C53" s="41">
        <v>32</v>
      </c>
      <c r="D53" s="41">
        <v>9.6074999999999999</v>
      </c>
      <c r="E53" s="41"/>
      <c r="F53" s="41"/>
      <c r="G53" s="41"/>
      <c r="H53" s="41"/>
      <c r="I53" s="41"/>
      <c r="J53" s="77">
        <v>10.46</v>
      </c>
      <c r="K53" s="49">
        <v>19.600000000000001</v>
      </c>
      <c r="L53" s="48">
        <f t="shared" ref="L53:L54" si="33">300/(K53-J53)</f>
        <v>32.822757111597369</v>
      </c>
      <c r="M53" s="41"/>
      <c r="N53" s="41"/>
      <c r="O53" s="50">
        <v>8.85</v>
      </c>
      <c r="P53" s="50">
        <f>O53</f>
        <v>8.85</v>
      </c>
      <c r="Q53" s="50"/>
      <c r="R53" s="51">
        <f>IF(P53&gt;J53,300-(($P53-J53)*$L53),($B53*POWER(($C53-P53),$D53)))</f>
        <v>600.21881426029461</v>
      </c>
      <c r="S53" s="34"/>
      <c r="T53" s="52" t="s">
        <v>52</v>
      </c>
      <c r="U53" s="44">
        <v>1.685E-6</v>
      </c>
      <c r="V53" s="44">
        <v>22</v>
      </c>
      <c r="W53" s="44">
        <v>7.7447999999999997</v>
      </c>
      <c r="X53" s="44"/>
      <c r="Y53" s="44"/>
      <c r="Z53" s="44"/>
      <c r="AA53" s="44"/>
      <c r="AB53" s="54">
        <v>9.2899999999999991</v>
      </c>
      <c r="AC53" s="78">
        <v>10.38</v>
      </c>
      <c r="AD53" s="54">
        <v>16.2</v>
      </c>
      <c r="AE53" s="55">
        <f t="shared" ref="AE53:AE54" si="34">300/(AD53-AC53)</f>
        <v>51.546391752577335</v>
      </c>
      <c r="AF53" s="44"/>
      <c r="AG53" s="44"/>
      <c r="AH53" s="56">
        <v>9.2899999999999991</v>
      </c>
      <c r="AI53" s="56">
        <f t="shared" ref="AI53:AI54" si="35">AH53</f>
        <v>9.2899999999999991</v>
      </c>
      <c r="AJ53" s="44"/>
      <c r="AK53" s="58">
        <f>IF(AI53&gt;AC53,300-((AI53-AC53)*AE53),(U53*POWER((V53-AI53),W53)))</f>
        <v>599.77224585241947</v>
      </c>
    </row>
    <row r="54" spans="1:37" x14ac:dyDescent="0.35">
      <c r="A54" s="47" t="s">
        <v>78</v>
      </c>
      <c r="B54" s="41">
        <v>1.4920000000000001E-8</v>
      </c>
      <c r="C54" s="41">
        <v>35</v>
      </c>
      <c r="D54" s="41">
        <v>7.7188999999999997</v>
      </c>
      <c r="E54" s="41"/>
      <c r="F54" s="41"/>
      <c r="G54" s="41"/>
      <c r="H54" s="41"/>
      <c r="I54" s="41"/>
      <c r="J54" s="49">
        <v>13.38</v>
      </c>
      <c r="K54" s="49">
        <v>24.5</v>
      </c>
      <c r="L54" s="48">
        <f t="shared" si="33"/>
        <v>26.978417266187051</v>
      </c>
      <c r="M54" s="41"/>
      <c r="N54" s="41"/>
      <c r="O54" s="50">
        <v>11.35</v>
      </c>
      <c r="P54" s="50">
        <f t="shared" ref="P54:P57" si="36">O54</f>
        <v>11.35</v>
      </c>
      <c r="Q54" s="61">
        <v>0</v>
      </c>
      <c r="R54" s="51">
        <f>IF(P54&gt;J54,300-(($P54-J54)*$L54),($B54*POWER(($C54-P54),$D54)))-(Q54*4)</f>
        <v>600.11440120949817</v>
      </c>
      <c r="S54" s="34"/>
      <c r="T54" s="46" t="s">
        <v>90</v>
      </c>
      <c r="U54" s="44">
        <v>4.6250000000000002E-11</v>
      </c>
      <c r="V54" s="44">
        <v>35</v>
      </c>
      <c r="W54" s="44">
        <v>9.5449999999999999</v>
      </c>
      <c r="X54" s="44"/>
      <c r="Y54" s="44"/>
      <c r="Z54" s="44"/>
      <c r="AA54" s="44"/>
      <c r="AB54" s="78">
        <v>11.35</v>
      </c>
      <c r="AC54" s="78">
        <v>13.01</v>
      </c>
      <c r="AD54" s="54">
        <v>22.4</v>
      </c>
      <c r="AE54" s="55">
        <f t="shared" si="34"/>
        <v>31.948881789137385</v>
      </c>
      <c r="AF54" s="44"/>
      <c r="AG54" s="44"/>
      <c r="AH54" s="56">
        <v>11.35</v>
      </c>
      <c r="AI54" s="56">
        <f t="shared" si="35"/>
        <v>11.35</v>
      </c>
      <c r="AJ54" s="64">
        <v>0</v>
      </c>
      <c r="AK54" s="58">
        <f>IF(AI54&gt;AC54,300-((AI54-AC54)*AE54),(U54*POWER((V54-AI54),W54)))-(AJ54*4)</f>
        <v>600.24702577532832</v>
      </c>
    </row>
    <row r="55" spans="1:37" x14ac:dyDescent="0.35">
      <c r="A55" s="47" t="s">
        <v>91</v>
      </c>
      <c r="B55" s="48">
        <v>29.5</v>
      </c>
      <c r="C55" s="48">
        <v>1.95</v>
      </c>
      <c r="D55" s="118">
        <v>1.1981999999999999</v>
      </c>
      <c r="E55" s="41"/>
      <c r="F55" s="41"/>
      <c r="G55" s="41"/>
      <c r="H55" s="41"/>
      <c r="I55" s="41"/>
      <c r="J55" s="49">
        <v>8.8800000000000008</v>
      </c>
      <c r="K55" s="49">
        <v>2</v>
      </c>
      <c r="L55" s="40">
        <f t="shared" ref="L55:L59" si="37">300/(J55-K55)</f>
        <v>43.604651162790695</v>
      </c>
      <c r="M55" s="41"/>
      <c r="N55" s="41"/>
      <c r="O55" s="50">
        <v>14.3</v>
      </c>
      <c r="P55" s="50">
        <f t="shared" si="36"/>
        <v>14.3</v>
      </c>
      <c r="Q55" s="50"/>
      <c r="R55" s="88">
        <f>IF(P55&lt;J55,300+(($P55-J55)*$L55),$B55*POWER((P55-$C55),$D55))</f>
        <v>599.59411908763229</v>
      </c>
      <c r="S55" s="34"/>
      <c r="T55" s="46" t="s">
        <v>92</v>
      </c>
      <c r="U55" s="44">
        <v>5.45E-3</v>
      </c>
      <c r="V55" s="44">
        <v>150</v>
      </c>
      <c r="W55" s="44">
        <v>1.4594</v>
      </c>
      <c r="X55" s="44"/>
      <c r="Y55" s="44"/>
      <c r="Z55" s="44"/>
      <c r="AA55" s="44"/>
      <c r="AB55" s="78">
        <v>3000</v>
      </c>
      <c r="AC55" s="78">
        <v>1920</v>
      </c>
      <c r="AD55" s="78">
        <v>175</v>
      </c>
      <c r="AE55" s="55">
        <f>300/(AC55-AD55)</f>
        <v>0.17191977077363896</v>
      </c>
      <c r="AF55" s="44"/>
      <c r="AG55" s="44"/>
      <c r="AH55" s="57">
        <v>3000</v>
      </c>
      <c r="AI55" s="57">
        <f>AH55</f>
        <v>3000</v>
      </c>
      <c r="AJ55" s="57"/>
      <c r="AK55" s="91">
        <f>IF(AI55&lt;AC55,300+((AI55-AC55)*AE55),U55*POWER((AI55-V55),W55))</f>
        <v>600.33973747420202</v>
      </c>
    </row>
    <row r="56" spans="1:37" x14ac:dyDescent="0.35">
      <c r="A56" s="47" t="s">
        <v>93</v>
      </c>
      <c r="B56" s="48">
        <v>19.75</v>
      </c>
      <c r="C56" s="48">
        <v>4.95</v>
      </c>
      <c r="D56" s="48">
        <v>0.95220000000000005</v>
      </c>
      <c r="E56" s="41"/>
      <c r="F56" s="41"/>
      <c r="G56" s="41"/>
      <c r="H56" s="41"/>
      <c r="I56" s="41"/>
      <c r="J56" s="49">
        <v>22.35</v>
      </c>
      <c r="K56" s="49">
        <v>5</v>
      </c>
      <c r="L56" s="40">
        <f t="shared" si="37"/>
        <v>17.291066282420747</v>
      </c>
      <c r="M56" s="41"/>
      <c r="N56" s="41"/>
      <c r="O56" s="50">
        <v>41</v>
      </c>
      <c r="P56" s="50">
        <f t="shared" si="36"/>
        <v>41</v>
      </c>
      <c r="Q56" s="50"/>
      <c r="R56" s="88">
        <f>IF(P56&lt;J56,300+(($P56-J56)*$L56),$B56*POWER((P56-$C56),$D56))</f>
        <v>599.86330663862304</v>
      </c>
      <c r="S56" s="34"/>
      <c r="T56" s="46"/>
      <c r="U56" s="74"/>
      <c r="V56" s="74"/>
      <c r="W56" s="114"/>
      <c r="X56" s="115"/>
      <c r="Y56" s="55"/>
      <c r="Z56" s="55"/>
      <c r="AA56" s="116"/>
      <c r="AB56" s="54"/>
      <c r="AC56" s="54"/>
      <c r="AD56" s="54"/>
      <c r="AE56" s="55"/>
      <c r="AF56" s="115"/>
      <c r="AG56" s="44"/>
      <c r="AH56" s="56"/>
      <c r="AI56" s="56"/>
      <c r="AJ56" s="56"/>
      <c r="AK56" s="91"/>
    </row>
    <row r="57" spans="1:37" x14ac:dyDescent="0.35">
      <c r="A57" s="47" t="s">
        <v>94</v>
      </c>
      <c r="B57" s="48">
        <v>23.45</v>
      </c>
      <c r="C57" s="48">
        <v>4.9800000000000004</v>
      </c>
      <c r="D57" s="94">
        <v>0.85170000000000001</v>
      </c>
      <c r="E57" s="97"/>
      <c r="F57" s="97"/>
      <c r="G57" s="97"/>
      <c r="H57" s="97"/>
      <c r="I57" s="97"/>
      <c r="J57" s="49">
        <v>24.95</v>
      </c>
      <c r="K57" s="49">
        <v>5</v>
      </c>
      <c r="L57" s="40">
        <f t="shared" si="37"/>
        <v>15.037593984962406</v>
      </c>
      <c r="M57" s="97"/>
      <c r="N57" s="41"/>
      <c r="O57" s="50">
        <v>50</v>
      </c>
      <c r="P57" s="50">
        <f t="shared" si="36"/>
        <v>50</v>
      </c>
      <c r="Q57" s="50"/>
      <c r="R57" s="88">
        <f>IF(P57&lt;J57,300+(($P57-J57)*$L57),$B57*POWER((P57-$C57),$D57))</f>
        <v>600.27230064296384</v>
      </c>
      <c r="S57" s="34"/>
      <c r="T57" s="46"/>
      <c r="U57" s="44"/>
      <c r="V57" s="44"/>
      <c r="W57" s="44"/>
      <c r="X57" s="44"/>
      <c r="Y57" s="44"/>
      <c r="Z57" s="44"/>
      <c r="AA57" s="44"/>
      <c r="AB57" s="78"/>
      <c r="AC57" s="78"/>
      <c r="AD57" s="78"/>
      <c r="AE57" s="55"/>
      <c r="AF57" s="44"/>
      <c r="AG57" s="44"/>
      <c r="AH57" s="57"/>
      <c r="AI57" s="57"/>
      <c r="AJ57" s="57"/>
      <c r="AK57" s="91"/>
    </row>
    <row r="58" spans="1:37" x14ac:dyDescent="0.35">
      <c r="A58" s="47" t="s">
        <v>95</v>
      </c>
      <c r="B58" s="48">
        <v>15.2</v>
      </c>
      <c r="C58" s="48">
        <v>4.95</v>
      </c>
      <c r="D58" s="48">
        <v>0.97699999999999998</v>
      </c>
      <c r="E58" s="41"/>
      <c r="F58" s="41"/>
      <c r="G58" s="41"/>
      <c r="H58" s="41"/>
      <c r="I58" s="41"/>
      <c r="J58" s="49">
        <v>26.1</v>
      </c>
      <c r="K58" s="49">
        <v>5</v>
      </c>
      <c r="L58" s="40">
        <f t="shared" si="37"/>
        <v>14.218009478672984</v>
      </c>
      <c r="M58" s="41"/>
      <c r="N58" s="41"/>
      <c r="O58" s="50">
        <v>48</v>
      </c>
      <c r="P58" s="50">
        <f>O58</f>
        <v>48</v>
      </c>
      <c r="Q58" s="50"/>
      <c r="R58" s="88">
        <f>IF(P58&lt;J58,300+(($P58-J58)*$L58),$B58*POWER((P58-$C58),$D58))</f>
        <v>600.11621457323952</v>
      </c>
      <c r="S58" s="34"/>
      <c r="T58" s="46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56"/>
      <c r="AI58" s="56"/>
      <c r="AJ58" s="56"/>
      <c r="AK58" s="58"/>
    </row>
    <row r="59" spans="1:37" x14ac:dyDescent="0.35">
      <c r="A59" s="47" t="s">
        <v>92</v>
      </c>
      <c r="B59" s="41">
        <v>3.1199999999999999E-2</v>
      </c>
      <c r="C59" s="41">
        <v>180</v>
      </c>
      <c r="D59" s="41">
        <v>1.2502</v>
      </c>
      <c r="E59" s="41"/>
      <c r="F59" s="41"/>
      <c r="G59" s="41"/>
      <c r="H59" s="41"/>
      <c r="I59" s="41"/>
      <c r="J59" s="113">
        <v>1715</v>
      </c>
      <c r="K59" s="113">
        <v>200</v>
      </c>
      <c r="L59" s="48">
        <f t="shared" si="37"/>
        <v>0.19801980198019803</v>
      </c>
      <c r="M59" s="41"/>
      <c r="N59" s="41"/>
      <c r="O59" s="102">
        <v>2850</v>
      </c>
      <c r="P59" s="102">
        <f>O59</f>
        <v>2850</v>
      </c>
      <c r="Q59" s="102"/>
      <c r="R59" s="88">
        <f>IF(P59&lt;J59,300+(($P59-J59)*$L59),$B59*POWER((P59-$C59),$D59))</f>
        <v>599.76203716725252</v>
      </c>
      <c r="S59" s="34"/>
      <c r="T59" s="52"/>
      <c r="U59" s="119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6"/>
    </row>
    <row r="60" spans="1:37" x14ac:dyDescent="0.35">
      <c r="A60" s="103" t="s">
        <v>96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5"/>
      <c r="S60" s="106"/>
      <c r="T60" s="107" t="s">
        <v>97</v>
      </c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9"/>
    </row>
    <row r="61" spans="1:37" x14ac:dyDescent="0.35">
      <c r="A61" s="120">
        <v>1200</v>
      </c>
      <c r="B61" s="121">
        <v>4.57E-5</v>
      </c>
      <c r="C61" s="122">
        <v>350</v>
      </c>
      <c r="D61" s="122">
        <v>3.21</v>
      </c>
      <c r="E61" s="123"/>
      <c r="F61" s="123"/>
      <c r="G61" s="123"/>
      <c r="H61" s="123"/>
      <c r="I61" s="123"/>
      <c r="J61" s="124">
        <v>217</v>
      </c>
      <c r="K61" s="124">
        <v>335</v>
      </c>
      <c r="L61" s="122">
        <f t="shared" ref="L61:L63" si="38">300/(K61-J61)</f>
        <v>2.5423728813559321</v>
      </c>
      <c r="M61" s="123"/>
      <c r="N61" s="41">
        <v>3</v>
      </c>
      <c r="O61" s="50">
        <v>37</v>
      </c>
      <c r="P61" s="125">
        <f t="shared" ref="P61" si="39">(N61*60)+O61</f>
        <v>217</v>
      </c>
      <c r="Q61" s="125"/>
      <c r="R61" s="51">
        <f>IF(P61&gt;J61,300-(($P61-J61)*$L61),($B61*POWER(($C61-P61),$D61)))</f>
        <v>300.24789242282543</v>
      </c>
      <c r="S61" s="106"/>
      <c r="T61" s="52">
        <v>75</v>
      </c>
      <c r="U61" s="126">
        <v>7.8199999999999994E-34</v>
      </c>
      <c r="V61" s="74">
        <v>32</v>
      </c>
      <c r="W61" s="74">
        <v>26.527200000000001</v>
      </c>
      <c r="X61" s="74"/>
      <c r="Y61" s="74"/>
      <c r="Z61" s="74"/>
      <c r="AA61" s="74"/>
      <c r="AB61" s="54">
        <f>12.3*(10.05/13.05)</f>
        <v>9.4724137931034491</v>
      </c>
      <c r="AC61" s="54">
        <v>10.050000000000001</v>
      </c>
      <c r="AD61" s="54">
        <v>14.25</v>
      </c>
      <c r="AE61" s="55">
        <f t="shared" ref="AE61:AE66" si="40">300/(AD61-AC61)</f>
        <v>71.428571428571445</v>
      </c>
      <c r="AF61" s="44"/>
      <c r="AG61" s="44"/>
      <c r="AH61" s="56">
        <v>10.050000000000001</v>
      </c>
      <c r="AI61" s="56">
        <f t="shared" ref="AI61:AI62" si="41">AH61</f>
        <v>10.050000000000001</v>
      </c>
      <c r="AJ61" s="64">
        <v>0</v>
      </c>
      <c r="AK61" s="58">
        <f>IF(AI61&gt;AC61,300-((AI61-AC61)*AE61),(U61*POWER((V61-AI61),W61)))-(AJ61*4)</f>
        <v>300.40604902823389</v>
      </c>
    </row>
    <row r="62" spans="1:37" x14ac:dyDescent="0.35">
      <c r="A62" s="47" t="s">
        <v>52</v>
      </c>
      <c r="B62" s="48">
        <v>2.0500000000000001E-13</v>
      </c>
      <c r="C62" s="48">
        <v>34</v>
      </c>
      <c r="D62" s="48">
        <v>11.0169</v>
      </c>
      <c r="E62" s="41"/>
      <c r="F62" s="41"/>
      <c r="G62" s="41"/>
      <c r="H62" s="41"/>
      <c r="I62" s="41"/>
      <c r="J62" s="49">
        <v>10.199999999999999</v>
      </c>
      <c r="K62" s="49">
        <v>19.3</v>
      </c>
      <c r="L62" s="48">
        <f t="shared" si="38"/>
        <v>32.967032967032964</v>
      </c>
      <c r="M62" s="41"/>
      <c r="N62" s="41"/>
      <c r="O62" s="50">
        <v>10.199999999999999</v>
      </c>
      <c r="P62" s="50">
        <f t="shared" ref="P62:P66" si="42">O62</f>
        <v>10.199999999999999</v>
      </c>
      <c r="Q62" s="50"/>
      <c r="R62" s="51">
        <f>IF(P62&gt;J62,300-(($P62-J62)*$L62),($B62*POWER(($C62-P62),$D62)))</f>
        <v>300.16810208060332</v>
      </c>
      <c r="S62" s="34"/>
      <c r="T62" s="52">
        <v>150</v>
      </c>
      <c r="U62" s="126">
        <v>2.8000000000000001E-83</v>
      </c>
      <c r="V62" s="74">
        <v>100</v>
      </c>
      <c r="W62" s="74">
        <v>44.661200000000001</v>
      </c>
      <c r="X62" s="74"/>
      <c r="Y62" s="74"/>
      <c r="Z62" s="74"/>
      <c r="AA62" s="74"/>
      <c r="AB62" s="54">
        <v>18.600000000000001</v>
      </c>
      <c r="AC62" s="54">
        <v>19.850000000000001</v>
      </c>
      <c r="AD62" s="54">
        <v>29</v>
      </c>
      <c r="AE62" s="55">
        <f t="shared" si="40"/>
        <v>32.786885245901644</v>
      </c>
      <c r="AF62" s="44"/>
      <c r="AG62" s="44"/>
      <c r="AH62" s="56">
        <v>19.850000000000001</v>
      </c>
      <c r="AI62" s="56">
        <f t="shared" si="41"/>
        <v>19.850000000000001</v>
      </c>
      <c r="AJ62" s="64">
        <v>0</v>
      </c>
      <c r="AK62" s="58">
        <f>IF(AI62&gt;AC62,300-((AI62-AC62)*AE62),(U62*POWER((V62-AI62),W62)))-(AJ62*4)</f>
        <v>300.45138999658968</v>
      </c>
    </row>
    <row r="63" spans="1:37" x14ac:dyDescent="0.35">
      <c r="A63" s="81" t="s">
        <v>90</v>
      </c>
      <c r="B63" s="41">
        <v>3.7200000000000002E-14</v>
      </c>
      <c r="C63" s="41">
        <v>42</v>
      </c>
      <c r="D63" s="41">
        <v>10.8277</v>
      </c>
      <c r="E63" s="41"/>
      <c r="F63" s="41"/>
      <c r="G63" s="41"/>
      <c r="H63" s="41"/>
      <c r="I63" s="41"/>
      <c r="J63" s="49">
        <v>12.55</v>
      </c>
      <c r="K63" s="49">
        <v>24</v>
      </c>
      <c r="L63" s="48">
        <f t="shared" si="38"/>
        <v>26.200873362445417</v>
      </c>
      <c r="M63" s="41"/>
      <c r="N63" s="41"/>
      <c r="O63" s="50">
        <v>12.55</v>
      </c>
      <c r="P63" s="50">
        <f t="shared" si="42"/>
        <v>12.55</v>
      </c>
      <c r="Q63" s="61">
        <v>0</v>
      </c>
      <c r="R63" s="51">
        <f>IF(P63&gt;J63,300-(($P63-J63)*$L63),($B63*POWER(($C63-P63),$D63)))-(Q63*4)</f>
        <v>300.16346714245844</v>
      </c>
      <c r="S63" s="34"/>
      <c r="T63" s="52">
        <v>600</v>
      </c>
      <c r="U63" s="126">
        <v>1.2E-37</v>
      </c>
      <c r="V63" s="74">
        <v>300</v>
      </c>
      <c r="W63" s="74">
        <v>17.2042</v>
      </c>
      <c r="X63" s="74"/>
      <c r="Y63" s="74"/>
      <c r="Z63" s="74"/>
      <c r="AA63" s="74"/>
      <c r="AB63" s="70">
        <v>97</v>
      </c>
      <c r="AC63" s="70">
        <v>105</v>
      </c>
      <c r="AD63" s="70">
        <v>160</v>
      </c>
      <c r="AE63" s="55">
        <f t="shared" si="40"/>
        <v>5.4545454545454541</v>
      </c>
      <c r="AF63" s="44"/>
      <c r="AG63" s="44">
        <v>1</v>
      </c>
      <c r="AH63" s="56">
        <v>45</v>
      </c>
      <c r="AI63" s="56">
        <f>(AG63*60)+AH63</f>
        <v>105</v>
      </c>
      <c r="AJ63" s="56"/>
      <c r="AK63" s="58">
        <f>IF(AI63&gt;AC63,300-((AI63-AC63)*AE63),(U63*POWER((V63-AI63),W63)))</f>
        <v>300.18895352088953</v>
      </c>
    </row>
    <row r="64" spans="1:37" x14ac:dyDescent="0.35">
      <c r="A64" s="81" t="s">
        <v>98</v>
      </c>
      <c r="B64" s="48">
        <v>19.8</v>
      </c>
      <c r="C64" s="48">
        <v>1.9</v>
      </c>
      <c r="D64" s="48">
        <v>1.2403</v>
      </c>
      <c r="E64" s="41"/>
      <c r="F64" s="41"/>
      <c r="G64" s="41"/>
      <c r="H64" s="41"/>
      <c r="I64" s="41"/>
      <c r="J64" s="49">
        <v>10.85</v>
      </c>
      <c r="K64" s="49">
        <v>2</v>
      </c>
      <c r="L64" s="40">
        <f t="shared" ref="L64:L68" si="43">300/(J64-K64)</f>
        <v>33.898305084745765</v>
      </c>
      <c r="M64" s="41"/>
      <c r="N64" s="41"/>
      <c r="O64" s="50">
        <v>10.85</v>
      </c>
      <c r="P64" s="50">
        <f t="shared" si="42"/>
        <v>10.85</v>
      </c>
      <c r="Q64" s="50"/>
      <c r="R64" s="88">
        <f>IF(P64&lt;J64,300+(($P64-J64)*$L64),$B64*POWER((P64-$C64),$D64))</f>
        <v>300.06220819074213</v>
      </c>
      <c r="S64" s="34"/>
      <c r="T64" s="52">
        <v>1200</v>
      </c>
      <c r="U64" s="126">
        <v>7.6999999999999995E-23</v>
      </c>
      <c r="V64" s="74">
        <v>500</v>
      </c>
      <c r="W64" s="74">
        <v>10.1412</v>
      </c>
      <c r="X64" s="74"/>
      <c r="Y64" s="74"/>
      <c r="Z64" s="74"/>
      <c r="AA64" s="74"/>
      <c r="AB64" s="70">
        <v>215.2</v>
      </c>
      <c r="AC64" s="70">
        <v>234</v>
      </c>
      <c r="AD64" s="70">
        <v>345</v>
      </c>
      <c r="AE64" s="55">
        <f t="shared" si="40"/>
        <v>2.7027027027027026</v>
      </c>
      <c r="AF64" s="44"/>
      <c r="AG64" s="44">
        <v>3</v>
      </c>
      <c r="AH64" s="56">
        <v>54</v>
      </c>
      <c r="AI64" s="56">
        <f t="shared" ref="AI64" si="44">(AG64*60)+AH64</f>
        <v>234</v>
      </c>
      <c r="AJ64" s="56"/>
      <c r="AK64" s="58">
        <f>IF(AI64&gt;AC64,300-((AI64-AC64)*AE64),(U64*POWER((V64-AI64),W64)))</f>
        <v>300.40031143192351</v>
      </c>
    </row>
    <row r="65" spans="1:37" x14ac:dyDescent="0.35">
      <c r="A65" s="81" t="s">
        <v>99</v>
      </c>
      <c r="B65" s="48">
        <v>12.55</v>
      </c>
      <c r="C65" s="48">
        <v>4.9000000000000004</v>
      </c>
      <c r="D65" s="48">
        <v>0.99780000000000002</v>
      </c>
      <c r="E65" s="41"/>
      <c r="F65" s="41"/>
      <c r="G65" s="41"/>
      <c r="H65" s="41"/>
      <c r="I65" s="41"/>
      <c r="J65" s="49">
        <v>29</v>
      </c>
      <c r="K65" s="49">
        <v>5</v>
      </c>
      <c r="L65" s="40">
        <f t="shared" si="43"/>
        <v>12.5</v>
      </c>
      <c r="M65" s="41"/>
      <c r="N65" s="41"/>
      <c r="O65" s="50">
        <v>29</v>
      </c>
      <c r="P65" s="50">
        <f t="shared" si="42"/>
        <v>29</v>
      </c>
      <c r="Q65" s="50"/>
      <c r="R65" s="88">
        <f>IF(P65&lt;J65,300+(($P65-J65)*$L65),$B65*POWER((P65-$C65),$D65))</f>
        <v>300.3449477737895</v>
      </c>
      <c r="S65" s="34"/>
      <c r="T65" s="52" t="s">
        <v>52</v>
      </c>
      <c r="U65" s="74">
        <v>2.68E-14</v>
      </c>
      <c r="V65" s="74">
        <v>30</v>
      </c>
      <c r="W65" s="74">
        <v>12.3947</v>
      </c>
      <c r="X65" s="74"/>
      <c r="Y65" s="74"/>
      <c r="Z65" s="74"/>
      <c r="AA65" s="74"/>
      <c r="AB65" s="54">
        <v>9.15</v>
      </c>
      <c r="AC65" s="78">
        <v>10.28</v>
      </c>
      <c r="AD65" s="54">
        <v>17.2</v>
      </c>
      <c r="AE65" s="55">
        <f t="shared" si="40"/>
        <v>43.352601156069362</v>
      </c>
      <c r="AF65" s="44"/>
      <c r="AG65" s="44"/>
      <c r="AH65" s="56">
        <v>10.28</v>
      </c>
      <c r="AI65" s="56">
        <f t="shared" ref="AI65:AI70" si="45">AH65</f>
        <v>10.28</v>
      </c>
      <c r="AJ65" s="44"/>
      <c r="AK65" s="58">
        <f>IF(AI65&gt;AC65,300-((AI65-AC65)*AE65),(U65*POWER((V65-AI65),W65)))</f>
        <v>300.68895718311347</v>
      </c>
    </row>
    <row r="66" spans="1:37" x14ac:dyDescent="0.35">
      <c r="A66" s="81" t="s">
        <v>83</v>
      </c>
      <c r="B66" s="48">
        <v>5.95</v>
      </c>
      <c r="C66" s="48">
        <v>4.8</v>
      </c>
      <c r="D66" s="94">
        <v>1.1506000000000001</v>
      </c>
      <c r="E66" s="97"/>
      <c r="F66" s="97"/>
      <c r="G66" s="97"/>
      <c r="H66" s="97"/>
      <c r="I66" s="97"/>
      <c r="J66" s="49">
        <v>35</v>
      </c>
      <c r="K66" s="49">
        <v>5</v>
      </c>
      <c r="L66" s="40">
        <f t="shared" si="43"/>
        <v>10</v>
      </c>
      <c r="M66" s="97"/>
      <c r="N66" s="41"/>
      <c r="O66" s="50">
        <v>35</v>
      </c>
      <c r="P66" s="50">
        <f t="shared" si="42"/>
        <v>35</v>
      </c>
      <c r="Q66" s="50"/>
      <c r="R66" s="88">
        <f>IF(P66&lt;J66,300+(($P66-J66)*$L66),$B66*POWER((P66-$C66),$D66))</f>
        <v>300.20156661302377</v>
      </c>
      <c r="S66" s="34"/>
      <c r="T66" s="46" t="s">
        <v>100</v>
      </c>
      <c r="U66" s="74">
        <v>1.032E-12</v>
      </c>
      <c r="V66" s="74">
        <v>33</v>
      </c>
      <c r="W66" s="74">
        <v>10.8802</v>
      </c>
      <c r="X66" s="74"/>
      <c r="Y66" s="74"/>
      <c r="Z66" s="74"/>
      <c r="AA66" s="74"/>
      <c r="AB66" s="54">
        <f>11.35*(11.75/13.01)</f>
        <v>10.25076863950807</v>
      </c>
      <c r="AC66" s="78">
        <v>11.65</v>
      </c>
      <c r="AD66" s="54">
        <v>21</v>
      </c>
      <c r="AE66" s="55">
        <f t="shared" si="40"/>
        <v>32.085561497326204</v>
      </c>
      <c r="AF66" s="44"/>
      <c r="AG66" s="44"/>
      <c r="AH66" s="56">
        <v>11.65</v>
      </c>
      <c r="AI66" s="56">
        <f t="shared" si="45"/>
        <v>11.65</v>
      </c>
      <c r="AJ66" s="64">
        <v>0</v>
      </c>
      <c r="AK66" s="58">
        <f>IF(AI66&gt;AC66,300-((AI66-AC66)*AE66),(U66*POWER((V66-AI66),W66)))-(AJ66*4)</f>
        <v>300.46542500585656</v>
      </c>
    </row>
    <row r="67" spans="1:37" x14ac:dyDescent="0.35">
      <c r="A67" s="81" t="s">
        <v>101</v>
      </c>
      <c r="B67" s="48">
        <v>9.25</v>
      </c>
      <c r="C67" s="48">
        <v>4.9000000000000004</v>
      </c>
      <c r="D67" s="48">
        <v>1.012</v>
      </c>
      <c r="E67" s="41"/>
      <c r="F67" s="41"/>
      <c r="G67" s="41"/>
      <c r="H67" s="41"/>
      <c r="I67" s="41"/>
      <c r="J67" s="49">
        <v>36</v>
      </c>
      <c r="K67" s="49">
        <v>5</v>
      </c>
      <c r="L67" s="40">
        <f t="shared" si="43"/>
        <v>9.67741935483871</v>
      </c>
      <c r="M67" s="41"/>
      <c r="N67" s="41"/>
      <c r="O67" s="50">
        <v>36</v>
      </c>
      <c r="P67" s="50">
        <f>O67</f>
        <v>36</v>
      </c>
      <c r="Q67" s="50"/>
      <c r="R67" s="88">
        <f>IF(P67&lt;J67,300+(($P67-J67)*$L67),$B67*POWER((P67-$C67),$D67))</f>
        <v>299.78869141888748</v>
      </c>
      <c r="S67" s="34"/>
      <c r="T67" s="46" t="s">
        <v>102</v>
      </c>
      <c r="U67" s="74">
        <v>24.6</v>
      </c>
      <c r="V67" s="74">
        <v>1.95</v>
      </c>
      <c r="W67" s="74">
        <v>1.2144999999999999</v>
      </c>
      <c r="X67" s="74"/>
      <c r="Y67" s="74"/>
      <c r="Z67" s="74"/>
      <c r="AA67" s="74"/>
      <c r="AB67" s="54">
        <f>11.7*(9.5/7.02)</f>
        <v>15.833333333333334</v>
      </c>
      <c r="AC67" s="54">
        <v>9.8000000000000007</v>
      </c>
      <c r="AD67" s="54">
        <v>2</v>
      </c>
      <c r="AE67" s="55">
        <f t="shared" ref="AE67:AE70" si="46">300/(AC67-AD67)</f>
        <v>38.46153846153846</v>
      </c>
      <c r="AF67" s="44"/>
      <c r="AG67" s="44"/>
      <c r="AH67" s="56">
        <v>9.8000000000000007</v>
      </c>
      <c r="AI67" s="56">
        <f t="shared" si="45"/>
        <v>9.8000000000000007</v>
      </c>
      <c r="AJ67" s="56"/>
      <c r="AK67" s="91">
        <f>IF(AI67&lt;AC67,300+((AI67-AC67)*AE67),U67*POWER((AI67-V67),W67))</f>
        <v>300.43761466149374</v>
      </c>
    </row>
    <row r="68" spans="1:37" x14ac:dyDescent="0.35">
      <c r="A68" s="123" t="s">
        <v>92</v>
      </c>
      <c r="B68" s="26">
        <v>4.8079999999999998E-3</v>
      </c>
      <c r="C68" s="26">
        <v>138</v>
      </c>
      <c r="D68" s="26">
        <v>1.5149999999999999</v>
      </c>
      <c r="J68" s="127">
        <v>1600</v>
      </c>
      <c r="K68" s="128">
        <v>165</v>
      </c>
      <c r="L68" s="26">
        <f t="shared" si="43"/>
        <v>0.20905923344947736</v>
      </c>
      <c r="M68" s="123"/>
      <c r="N68" s="41"/>
      <c r="O68" s="102">
        <v>1600</v>
      </c>
      <c r="P68" s="102">
        <f>O68</f>
        <v>1600</v>
      </c>
      <c r="Q68" s="102"/>
      <c r="R68" s="129">
        <f t="shared" ref="R68" si="47">IF(P68&lt;J68,300+(($P68-J68)*$L68),$B68*POWER((P68-$C68),$D68))</f>
        <v>299.81939848248027</v>
      </c>
      <c r="S68" s="130"/>
      <c r="T68" s="46" t="s">
        <v>103</v>
      </c>
      <c r="U68" s="74">
        <v>9.75</v>
      </c>
      <c r="V68" s="74">
        <v>4.9000000000000004</v>
      </c>
      <c r="W68" s="74">
        <v>1.1155999999999999</v>
      </c>
      <c r="X68" s="74"/>
      <c r="Y68" s="74"/>
      <c r="Z68" s="74"/>
      <c r="AA68" s="74"/>
      <c r="AB68" s="54">
        <f>35*(26/20.2)</f>
        <v>45.049504950495049</v>
      </c>
      <c r="AC68" s="54">
        <v>26.5</v>
      </c>
      <c r="AD68" s="54">
        <v>5</v>
      </c>
      <c r="AE68" s="55">
        <f t="shared" si="46"/>
        <v>13.953488372093023</v>
      </c>
      <c r="AF68" s="44"/>
      <c r="AG68" s="44"/>
      <c r="AH68" s="56">
        <v>26.5</v>
      </c>
      <c r="AI68" s="56">
        <f t="shared" si="45"/>
        <v>26.5</v>
      </c>
      <c r="AJ68" s="56"/>
      <c r="AK68" s="91">
        <f>IF(AI68&lt;AC68,300+((AI68-AC68)*AE68),U68*POWER((AI68-V68),W68))</f>
        <v>300.41472806825067</v>
      </c>
    </row>
    <row r="69" spans="1:37" x14ac:dyDescent="0.35">
      <c r="A69" s="131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131"/>
      <c r="S69" s="130"/>
      <c r="T69" s="46" t="s">
        <v>104</v>
      </c>
      <c r="U69" s="55">
        <v>5.35</v>
      </c>
      <c r="V69" s="55">
        <v>4.8</v>
      </c>
      <c r="W69" s="116">
        <v>1.2243999999999999</v>
      </c>
      <c r="X69" s="116"/>
      <c r="Y69" s="55">
        <v>6.5000000000000002E-2</v>
      </c>
      <c r="Z69" s="55">
        <v>1.5</v>
      </c>
      <c r="AA69" s="116">
        <v>2.3279999999999998</v>
      </c>
      <c r="AB69" s="54">
        <v>52</v>
      </c>
      <c r="AC69" s="54">
        <v>39</v>
      </c>
      <c r="AD69" s="54">
        <v>5</v>
      </c>
      <c r="AE69" s="55">
        <f t="shared" si="46"/>
        <v>8.8235294117647065</v>
      </c>
      <c r="AF69" s="115"/>
      <c r="AG69" s="44"/>
      <c r="AH69" s="56">
        <v>39</v>
      </c>
      <c r="AI69" s="56">
        <f t="shared" si="45"/>
        <v>39</v>
      </c>
      <c r="AJ69" s="56"/>
      <c r="AK69" s="91">
        <f>IF(AI69&lt;AC69,300+((AI69-AC69)*AE69),IF(AI69&lt;AB69,Y69*POWER((AI69-Z69),AA69),U69*POWER((AI69-V69),W69)))</f>
        <v>300.09457737288295</v>
      </c>
    </row>
    <row r="70" spans="1:37" x14ac:dyDescent="0.35">
      <c r="A70" s="131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131"/>
      <c r="S70" s="130"/>
      <c r="T70" s="46" t="s">
        <v>101</v>
      </c>
      <c r="U70" s="74">
        <v>7.15</v>
      </c>
      <c r="V70" s="74">
        <v>4.8</v>
      </c>
      <c r="W70" s="74">
        <v>1.1728000000000001</v>
      </c>
      <c r="X70" s="74"/>
      <c r="Y70" s="74"/>
      <c r="Z70" s="74"/>
      <c r="AA70" s="74"/>
      <c r="AB70" s="54">
        <v>48.5</v>
      </c>
      <c r="AC70" s="54">
        <v>29</v>
      </c>
      <c r="AD70" s="54">
        <v>5</v>
      </c>
      <c r="AE70" s="55">
        <f t="shared" si="46"/>
        <v>12.5</v>
      </c>
      <c r="AF70" s="44"/>
      <c r="AG70" s="44"/>
      <c r="AH70" s="56">
        <v>29</v>
      </c>
      <c r="AI70" s="56">
        <f t="shared" si="45"/>
        <v>29</v>
      </c>
      <c r="AJ70" s="56"/>
      <c r="AK70" s="91">
        <f>IF(AI70&lt;AC70,300+((AI70-AC70)*AE70),U70*POWER((AI70-V70),W70))</f>
        <v>300.08528718773493</v>
      </c>
    </row>
    <row r="71" spans="1:37" x14ac:dyDescent="0.35">
      <c r="A71" s="131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131"/>
      <c r="S71" s="130"/>
      <c r="T71" s="86" t="s">
        <v>92</v>
      </c>
      <c r="U71" s="26">
        <v>1.7019999999999999E-4</v>
      </c>
      <c r="V71" s="26">
        <v>110</v>
      </c>
      <c r="W71" s="26">
        <v>1.87</v>
      </c>
      <c r="X71" s="83"/>
      <c r="Y71" s="83"/>
      <c r="Z71" s="83"/>
      <c r="AA71" s="83"/>
      <c r="AB71" s="132">
        <v>3280</v>
      </c>
      <c r="AC71" s="133">
        <v>2300</v>
      </c>
      <c r="AD71" s="132">
        <v>185</v>
      </c>
      <c r="AE71" s="134">
        <f>300/(AC71-AD71)</f>
        <v>0.14184397163120568</v>
      </c>
      <c r="AF71" s="86"/>
      <c r="AG71" s="44"/>
      <c r="AH71" s="57">
        <v>2300</v>
      </c>
      <c r="AI71" s="57">
        <f>AH71</f>
        <v>2300</v>
      </c>
      <c r="AJ71" s="57"/>
      <c r="AK71" s="90">
        <f>IF(AI71&lt;AC71,300+((AI71-AC71)*AE71),U71*POWER((AI71-V71),W71))</f>
        <v>300.32400749457304</v>
      </c>
    </row>
    <row r="74" spans="1:37" x14ac:dyDescent="0.35">
      <c r="AH74" s="59"/>
      <c r="AI74" s="59"/>
      <c r="AJ74" s="59"/>
    </row>
    <row r="75" spans="1:37" x14ac:dyDescent="0.35">
      <c r="AH75" s="59"/>
      <c r="AI75" s="71"/>
      <c r="AJ75" s="71"/>
    </row>
    <row r="76" spans="1:37" x14ac:dyDescent="0.35">
      <c r="AH76" s="59"/>
      <c r="AI76" s="59"/>
      <c r="AJ76" s="59"/>
    </row>
    <row r="77" spans="1:37" x14ac:dyDescent="0.35">
      <c r="AH77" s="59"/>
      <c r="AI77" s="59"/>
      <c r="AJ77" s="59"/>
    </row>
    <row r="78" spans="1:37" x14ac:dyDescent="0.35">
      <c r="N78" s="149" t="s">
        <v>39</v>
      </c>
      <c r="O78" s="150" t="s">
        <v>31</v>
      </c>
      <c r="P78" s="150" t="s">
        <v>108</v>
      </c>
      <c r="AH78" s="59"/>
      <c r="AI78" s="59"/>
      <c r="AJ78" s="59"/>
    </row>
    <row r="79" spans="1:37" x14ac:dyDescent="0.35">
      <c r="A79" s="149">
        <v>1</v>
      </c>
      <c r="N79" s="149">
        <v>20</v>
      </c>
      <c r="O79" s="149">
        <v>18</v>
      </c>
      <c r="P79" s="149">
        <v>16</v>
      </c>
      <c r="AH79" s="59"/>
      <c r="AI79" s="59"/>
      <c r="AJ79" s="59"/>
    </row>
    <row r="80" spans="1:37" x14ac:dyDescent="0.35">
      <c r="A80" s="149">
        <v>2</v>
      </c>
      <c r="N80" s="149">
        <f t="shared" ref="N80:P88" si="48">MAX(N79-2,0)</f>
        <v>18</v>
      </c>
      <c r="O80" s="149">
        <f t="shared" si="48"/>
        <v>16</v>
      </c>
      <c r="P80" s="149">
        <f t="shared" si="48"/>
        <v>14</v>
      </c>
      <c r="AH80" s="59"/>
      <c r="AI80" s="59"/>
      <c r="AJ80" s="59"/>
    </row>
    <row r="81" spans="1:36" x14ac:dyDescent="0.35">
      <c r="A81" s="149">
        <v>3</v>
      </c>
      <c r="N81" s="149">
        <f t="shared" si="48"/>
        <v>16</v>
      </c>
      <c r="O81" s="149">
        <f t="shared" si="48"/>
        <v>14</v>
      </c>
      <c r="P81" s="149">
        <f t="shared" si="48"/>
        <v>12</v>
      </c>
      <c r="AH81" s="59"/>
      <c r="AI81" s="59"/>
      <c r="AJ81" s="59"/>
    </row>
    <row r="82" spans="1:36" x14ac:dyDescent="0.35">
      <c r="A82" s="149">
        <v>4</v>
      </c>
      <c r="N82" s="149">
        <f t="shared" si="48"/>
        <v>14</v>
      </c>
      <c r="O82" s="149">
        <f t="shared" si="48"/>
        <v>12</v>
      </c>
      <c r="P82" s="149">
        <f t="shared" si="48"/>
        <v>10</v>
      </c>
      <c r="AH82" s="59"/>
      <c r="AI82" s="71"/>
      <c r="AJ82" s="71"/>
    </row>
    <row r="83" spans="1:36" x14ac:dyDescent="0.35">
      <c r="A83" s="149">
        <v>5</v>
      </c>
      <c r="N83" s="149">
        <f t="shared" si="48"/>
        <v>12</v>
      </c>
      <c r="O83" s="149">
        <f t="shared" si="48"/>
        <v>10</v>
      </c>
      <c r="P83" s="149">
        <f t="shared" si="48"/>
        <v>8</v>
      </c>
      <c r="U83" s="71"/>
      <c r="AH83" s="59"/>
      <c r="AI83" s="71"/>
      <c r="AJ83" s="71"/>
    </row>
    <row r="84" spans="1:36" x14ac:dyDescent="0.35">
      <c r="A84" s="149">
        <v>6</v>
      </c>
      <c r="N84" s="149">
        <f t="shared" si="48"/>
        <v>10</v>
      </c>
      <c r="O84" s="149">
        <f t="shared" si="48"/>
        <v>8</v>
      </c>
      <c r="P84" s="149">
        <f t="shared" si="48"/>
        <v>6</v>
      </c>
      <c r="AH84" s="59"/>
      <c r="AI84" s="59"/>
      <c r="AJ84" s="59"/>
    </row>
    <row r="85" spans="1:36" x14ac:dyDescent="0.35">
      <c r="A85" s="149">
        <v>7</v>
      </c>
      <c r="N85" s="149">
        <f t="shared" si="48"/>
        <v>8</v>
      </c>
      <c r="O85" s="149">
        <f t="shared" si="48"/>
        <v>6</v>
      </c>
      <c r="P85" s="149">
        <f t="shared" si="48"/>
        <v>4</v>
      </c>
      <c r="AH85" s="59"/>
      <c r="AI85" s="59"/>
      <c r="AJ85" s="59"/>
    </row>
    <row r="86" spans="1:36" x14ac:dyDescent="0.35">
      <c r="A86" s="149">
        <v>8</v>
      </c>
      <c r="N86" s="149">
        <f t="shared" si="48"/>
        <v>6</v>
      </c>
      <c r="O86" s="149">
        <f t="shared" si="48"/>
        <v>4</v>
      </c>
      <c r="P86" s="149">
        <f t="shared" si="48"/>
        <v>2</v>
      </c>
    </row>
    <row r="87" spans="1:36" x14ac:dyDescent="0.35">
      <c r="A87" s="149">
        <v>9</v>
      </c>
      <c r="N87" s="149">
        <f t="shared" si="48"/>
        <v>4</v>
      </c>
      <c r="O87" s="149">
        <f t="shared" si="48"/>
        <v>2</v>
      </c>
      <c r="P87" s="149">
        <f t="shared" si="48"/>
        <v>0</v>
      </c>
      <c r="U87" s="71"/>
      <c r="AH87" s="59"/>
      <c r="AI87" s="59"/>
      <c r="AJ87" s="59"/>
    </row>
    <row r="88" spans="1:36" x14ac:dyDescent="0.35">
      <c r="A88" s="149">
        <v>10</v>
      </c>
      <c r="N88" s="149">
        <f t="shared" si="48"/>
        <v>2</v>
      </c>
      <c r="O88" s="149">
        <f t="shared" si="48"/>
        <v>0</v>
      </c>
      <c r="P88" s="149">
        <f t="shared" si="48"/>
        <v>0</v>
      </c>
      <c r="U88" s="71"/>
      <c r="AH88" s="59"/>
      <c r="AI88" s="59"/>
      <c r="AJ88" s="59"/>
    </row>
    <row r="89" spans="1:36" x14ac:dyDescent="0.35">
      <c r="AH89" s="59"/>
      <c r="AI89" s="71"/>
      <c r="AJ89" s="71"/>
    </row>
    <row r="90" spans="1:36" x14ac:dyDescent="0.35">
      <c r="AH90" s="59"/>
      <c r="AI90" s="59"/>
      <c r="AJ90" s="59"/>
    </row>
    <row r="91" spans="1:36" x14ac:dyDescent="0.35">
      <c r="AH91" s="59"/>
      <c r="AI91" s="59"/>
      <c r="AJ91" s="59"/>
    </row>
    <row r="92" spans="1:36" x14ac:dyDescent="0.35">
      <c r="AH92" s="59"/>
      <c r="AI92" s="59"/>
      <c r="AJ92" s="59"/>
    </row>
    <row r="93" spans="1:36" x14ac:dyDescent="0.35">
      <c r="AH93" s="59"/>
      <c r="AI93" s="59"/>
      <c r="AJ93" s="59"/>
    </row>
    <row r="94" spans="1:36" x14ac:dyDescent="0.35">
      <c r="AH94" s="59"/>
      <c r="AI94" s="59"/>
      <c r="AJ94" s="59"/>
    </row>
    <row r="95" spans="1:36" x14ac:dyDescent="0.35">
      <c r="AH95" s="59"/>
      <c r="AI95" s="59"/>
      <c r="AJ95" s="59"/>
    </row>
    <row r="96" spans="1:36" x14ac:dyDescent="0.35">
      <c r="AH96" s="59"/>
      <c r="AI96" s="59"/>
      <c r="AJ96" s="59"/>
    </row>
    <row r="97" spans="34:36" x14ac:dyDescent="0.35">
      <c r="AH97" s="59"/>
      <c r="AI97" s="59"/>
      <c r="AJ97" s="59"/>
    </row>
    <row r="98" spans="34:36" x14ac:dyDescent="0.35">
      <c r="AH98" s="59"/>
      <c r="AI98" s="59"/>
      <c r="AJ98" s="59"/>
    </row>
    <row r="99" spans="34:36" x14ac:dyDescent="0.35">
      <c r="AH99" s="59"/>
      <c r="AI99" s="59"/>
      <c r="AJ99" s="59"/>
    </row>
    <row r="100" spans="34:36" x14ac:dyDescent="0.35">
      <c r="AH100" s="59"/>
      <c r="AI100" s="59"/>
      <c r="AJ100" s="59"/>
    </row>
    <row r="101" spans="34:36" x14ac:dyDescent="0.35">
      <c r="AH101" s="59"/>
      <c r="AI101" s="71"/>
      <c r="AJ101" s="71"/>
    </row>
    <row r="102" spans="34:36" x14ac:dyDescent="0.35">
      <c r="AH102" s="59"/>
      <c r="AI102" s="71"/>
      <c r="AJ102" s="71"/>
    </row>
    <row r="103" spans="34:36" x14ac:dyDescent="0.35">
      <c r="AH103" s="59"/>
      <c r="AI103" s="59"/>
      <c r="AJ103" s="59"/>
    </row>
    <row r="104" spans="34:36" x14ac:dyDescent="0.35">
      <c r="AH104" s="59"/>
      <c r="AI104" s="59"/>
      <c r="AJ104" s="59"/>
    </row>
    <row r="105" spans="34:36" x14ac:dyDescent="0.35">
      <c r="AH105" s="59"/>
      <c r="AI105" s="71"/>
      <c r="AJ105" s="71"/>
    </row>
    <row r="106" spans="34:36" x14ac:dyDescent="0.35">
      <c r="AH106" s="59"/>
      <c r="AI106" s="59"/>
      <c r="AJ106" s="59"/>
    </row>
    <row r="107" spans="34:36" x14ac:dyDescent="0.35">
      <c r="AH107" s="59"/>
      <c r="AI107" s="59"/>
      <c r="AJ107" s="59"/>
    </row>
    <row r="108" spans="34:36" x14ac:dyDescent="0.35">
      <c r="AH108" s="59"/>
      <c r="AI108" s="59"/>
      <c r="AJ108" s="59"/>
    </row>
    <row r="109" spans="34:36" x14ac:dyDescent="0.35">
      <c r="AH109" s="59"/>
      <c r="AI109" s="59"/>
      <c r="AJ109" s="59"/>
    </row>
    <row r="110" spans="34:36" x14ac:dyDescent="0.35">
      <c r="AH110" s="59"/>
      <c r="AI110" s="59"/>
      <c r="AJ110" s="59"/>
    </row>
    <row r="111" spans="34:36" x14ac:dyDescent="0.35">
      <c r="AH111" s="59"/>
      <c r="AI111" s="59"/>
      <c r="AJ111" s="59"/>
    </row>
    <row r="112" spans="34:36" x14ac:dyDescent="0.35">
      <c r="AH112" s="59"/>
      <c r="AI112" s="59"/>
      <c r="AJ112" s="59"/>
    </row>
    <row r="113" spans="34:36" x14ac:dyDescent="0.35">
      <c r="AH113" s="59"/>
      <c r="AI113" s="59"/>
      <c r="AJ113" s="59"/>
    </row>
    <row r="114" spans="34:36" x14ac:dyDescent="0.35">
      <c r="AH114" s="59"/>
      <c r="AI114" s="71"/>
      <c r="AJ114" s="71"/>
    </row>
    <row r="115" spans="34:36" x14ac:dyDescent="0.35">
      <c r="AH115" s="59"/>
      <c r="AI115" s="71"/>
      <c r="AJ115" s="71"/>
    </row>
    <row r="116" spans="34:36" x14ac:dyDescent="0.35">
      <c r="AH116" s="59"/>
      <c r="AI116" s="59"/>
      <c r="AJ116" s="59"/>
    </row>
    <row r="117" spans="34:36" x14ac:dyDescent="0.35">
      <c r="AH117" s="59"/>
      <c r="AI117" s="59"/>
      <c r="AJ117" s="59"/>
    </row>
    <row r="118" spans="34:36" x14ac:dyDescent="0.35">
      <c r="AH118" s="59"/>
      <c r="AI118" s="71"/>
      <c r="AJ118" s="71"/>
    </row>
    <row r="119" spans="34:36" x14ac:dyDescent="0.35">
      <c r="AH119" s="59"/>
      <c r="AI119" s="59"/>
      <c r="AJ119" s="59"/>
    </row>
    <row r="120" spans="34:36" x14ac:dyDescent="0.35">
      <c r="AH120" s="59"/>
      <c r="AI120" s="59"/>
      <c r="AJ120" s="59"/>
    </row>
    <row r="121" spans="34:36" x14ac:dyDescent="0.35">
      <c r="AH121" s="59"/>
      <c r="AI121" s="71"/>
      <c r="AJ121" s="71"/>
    </row>
  </sheetData>
  <sheetProtection selectLockedCells="1"/>
  <mergeCells count="5">
    <mergeCell ref="A1:AK1"/>
    <mergeCell ref="A2:R2"/>
    <mergeCell ref="T2:AK2"/>
    <mergeCell ref="N3:O3"/>
    <mergeCell ref="AG3:A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Athletes</vt:lpstr>
      <vt:lpstr>Calcs</vt:lpstr>
      <vt:lpstr>U9 - B</vt:lpstr>
      <vt:lpstr>U11 - B</vt:lpstr>
      <vt:lpstr>U13 - B</vt:lpstr>
      <vt:lpstr>U15 - B</vt:lpstr>
      <vt:lpstr>U17 - M</vt:lpstr>
      <vt:lpstr>U20 - M</vt:lpstr>
      <vt:lpstr>SCORE</vt:lpstr>
      <vt:lpstr>Calcs!Print_Titles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</dc:creator>
  <cp:lastModifiedBy>angus oakley</cp:lastModifiedBy>
  <cp:lastPrinted>2016-05-24T15:51:28Z</cp:lastPrinted>
  <dcterms:created xsi:type="dcterms:W3CDTF">2003-11-18T16:17:15Z</dcterms:created>
  <dcterms:modified xsi:type="dcterms:W3CDTF">2019-09-03T20:04:13Z</dcterms:modified>
</cp:coreProperties>
</file>